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30" windowWidth="15120" windowHeight="15480" firstSheet="1" activeTab="5"/>
  </bookViews>
  <sheets>
    <sheet name="Veehind abonenttasuga" sheetId="1" r:id="rId1"/>
    <sheet name="Veeteenused ettevõtetele" sheetId="2" r:id="rId2"/>
    <sheet name="Veeteenused el." sheetId="3" r:id="rId3"/>
    <sheet name="Ettevõtetele" sheetId="4" r:id="rId4"/>
    <sheet name="Elanikkonnale" sheetId="5" r:id="rId5"/>
    <sheet name="Graafik" sheetId="6" r:id="rId6"/>
  </sheets>
  <definedNames>
    <definedName name="_xlnm.Print_Area" localSheetId="4">'Elanikkonnale'!$B$1:$P$36</definedName>
    <definedName name="_xlnm.Print_Area" localSheetId="3">'Ettevõtetele'!$B$1:$P$36</definedName>
    <definedName name="_xlnm.Print_Area" localSheetId="5">'Graafik'!$A$1:$M$37</definedName>
    <definedName name="_xlnm.Print_Area" localSheetId="1">'Veeteenused ettevõtetele'!$A$1:$H$78</definedName>
  </definedNames>
  <calcPr fullCalcOnLoad="1"/>
</workbook>
</file>

<file path=xl/sharedStrings.xml><?xml version="1.0" encoding="utf-8"?>
<sst xmlns="http://schemas.openxmlformats.org/spreadsheetml/2006/main" count="548" uniqueCount="198">
  <si>
    <t>VESI</t>
  </si>
  <si>
    <t>KANALISATSIOON</t>
  </si>
  <si>
    <t>Vesi</t>
  </si>
  <si>
    <t>Ettevõtted</t>
  </si>
  <si>
    <t>Tartu</t>
  </si>
  <si>
    <t>Pärnu</t>
  </si>
  <si>
    <t>Viljandi</t>
  </si>
  <si>
    <t>Rakvere</t>
  </si>
  <si>
    <t>Kuressaare</t>
  </si>
  <si>
    <t>Haapsalu</t>
  </si>
  <si>
    <t>Paide</t>
  </si>
  <si>
    <t>Keila</t>
  </si>
  <si>
    <t>Põlva</t>
  </si>
  <si>
    <t>Jõgeva</t>
  </si>
  <si>
    <t>Türi</t>
  </si>
  <si>
    <t>Tapa</t>
  </si>
  <si>
    <t>Rapla</t>
  </si>
  <si>
    <t>Kärdla</t>
  </si>
  <si>
    <t>Põltsamaa</t>
  </si>
  <si>
    <t>Kiviõli</t>
  </si>
  <si>
    <t>Tabasalu</t>
  </si>
  <si>
    <t>Kadrina</t>
  </si>
  <si>
    <t>Orissaare</t>
  </si>
  <si>
    <t>Vändra</t>
  </si>
  <si>
    <t>Järvakandi</t>
  </si>
  <si>
    <t>Paldiski</t>
  </si>
  <si>
    <t>KESKMINE</t>
  </si>
  <si>
    <t>Tallinn</t>
  </si>
  <si>
    <t>Haapsalu Veevärk  AS</t>
  </si>
  <si>
    <t>Järvakandi Komm.OÜ</t>
  </si>
  <si>
    <t>Keila Vesi AS</t>
  </si>
  <si>
    <t>Kuressaare Veevärk AS</t>
  </si>
  <si>
    <t>Paide Vesi AS</t>
  </si>
  <si>
    <t>Tapa Vesi AS</t>
  </si>
  <si>
    <t>Tartu Veevärk AS</t>
  </si>
  <si>
    <t>Türi Vesi OÜ</t>
  </si>
  <si>
    <t>Viljandi Veevärk AS</t>
  </si>
  <si>
    <t>Vändra MP OÜ</t>
  </si>
  <si>
    <r>
      <t>kr/m</t>
    </r>
    <r>
      <rPr>
        <vertAlign val="superscript"/>
        <sz val="8"/>
        <rFont val="Arial"/>
        <family val="2"/>
      </rPr>
      <t>3</t>
    </r>
  </si>
  <si>
    <t>saadud tulu</t>
  </si>
  <si>
    <t>tuh.kr</t>
  </si>
  <si>
    <t>Kadrina Soojus AS</t>
  </si>
  <si>
    <t>Jõgeva  Vesi  OÜ</t>
  </si>
  <si>
    <t>Melior OÜ</t>
  </si>
  <si>
    <t>Strantum OÜ</t>
  </si>
  <si>
    <t>Sillamäe</t>
  </si>
  <si>
    <t>Valga</t>
  </si>
  <si>
    <t>Sillamäe Veevärk AS</t>
  </si>
  <si>
    <t>Valga Vesi AS</t>
  </si>
  <si>
    <t>Karksi-Nuia</t>
  </si>
  <si>
    <t>Tallinna Vesi AS</t>
  </si>
  <si>
    <t>Iivakivi AS</t>
  </si>
  <si>
    <t>Kohila</t>
  </si>
  <si>
    <t>Kohila Maja OÜ</t>
  </si>
  <si>
    <t>VEE HIND</t>
  </si>
  <si>
    <t>vesi+</t>
  </si>
  <si>
    <t>kanal</t>
  </si>
  <si>
    <t xml:space="preserve"> Kohila Maja OÜ</t>
  </si>
  <si>
    <t>AS Tallinna Vesi</t>
  </si>
  <si>
    <t>vesi</t>
  </si>
  <si>
    <t>Teenindatav</t>
  </si>
  <si>
    <t>piirkond</t>
  </si>
  <si>
    <t>Põlva vald</t>
  </si>
  <si>
    <t>Järve Biopuhastus OÜ</t>
  </si>
  <si>
    <t>elanikkond</t>
  </si>
  <si>
    <t>asutused</t>
  </si>
  <si>
    <t>Ahja vald</t>
  </si>
  <si>
    <t>Põlva linn</t>
  </si>
  <si>
    <t>Rakvere linn</t>
  </si>
  <si>
    <t>Rapla linn</t>
  </si>
  <si>
    <r>
      <t>krooni/m</t>
    </r>
    <r>
      <rPr>
        <b/>
        <vertAlign val="superscript"/>
        <sz val="10"/>
        <rFont val="Arial"/>
        <family val="2"/>
      </rPr>
      <t>3</t>
    </r>
  </si>
  <si>
    <t xml:space="preserve"> Valga Vesi AS</t>
  </si>
  <si>
    <t>Asutustele</t>
  </si>
  <si>
    <t>Lüganuse vald</t>
  </si>
  <si>
    <t>Kiviõli linn</t>
  </si>
  <si>
    <t>Põlva Vesi  AS (linn)</t>
  </si>
  <si>
    <t>Pärnu Vesi AS (Pärnu linn)</t>
  </si>
  <si>
    <t>Rapla Vesi AS (linn)</t>
  </si>
  <si>
    <t>Kiviõli Vesi OÜ (linn)</t>
  </si>
  <si>
    <t xml:space="preserve">Teenindatav </t>
  </si>
  <si>
    <t>I gr</t>
  </si>
  <si>
    <t>II gr</t>
  </si>
  <si>
    <t>III gr</t>
  </si>
  <si>
    <t>Kärdla Veevärk AS linn</t>
  </si>
  <si>
    <t>Kärdla Veevärk AS (linn)</t>
  </si>
  <si>
    <t>Pärnu Vesi AS (linn)</t>
  </si>
  <si>
    <t>Rakvere Vesi AS (linn)</t>
  </si>
  <si>
    <t>VEETEENUSTE HIND ETTEVÕTETELE</t>
  </si>
  <si>
    <t>Kanal.</t>
  </si>
  <si>
    <t>Põlva Vesi  AS  (linn)</t>
  </si>
  <si>
    <t>Kiviõli Vesi OÜ( linn)</t>
  </si>
  <si>
    <r>
      <t>(käibemaksuga)       kr/m</t>
    </r>
    <r>
      <rPr>
        <vertAlign val="superscript"/>
        <sz val="10"/>
        <rFont val="Arial"/>
        <family val="2"/>
      </rPr>
      <t>3</t>
    </r>
  </si>
  <si>
    <t xml:space="preserve">VEETEENUSTE  HIND ELANIKKONNALE </t>
  </si>
  <si>
    <t>VEETEENUSTE HIND</t>
  </si>
  <si>
    <t>TABEL 1</t>
  </si>
  <si>
    <t>Veeteen.</t>
  </si>
  <si>
    <t>abonent-</t>
  </si>
  <si>
    <t>Kanal.teen.</t>
  </si>
  <si>
    <t>tasust</t>
  </si>
  <si>
    <r>
      <t>tuh m</t>
    </r>
    <r>
      <rPr>
        <vertAlign val="superscript"/>
        <sz val="8"/>
        <rFont val="Arial"/>
        <family val="2"/>
      </rPr>
      <t>3</t>
    </r>
  </si>
  <si>
    <t>Veeteenus</t>
  </si>
  <si>
    <t>teenus</t>
  </si>
  <si>
    <t>ühele</t>
  </si>
  <si>
    <r>
      <t>m</t>
    </r>
    <r>
      <rPr>
        <vertAlign val="superscript"/>
        <sz val="8"/>
        <rFont val="Arial"/>
        <family val="2"/>
      </rPr>
      <t>3</t>
    </r>
  </si>
  <si>
    <t>kanal.teen.</t>
  </si>
  <si>
    <t>Vesi+kanal</t>
  </si>
  <si>
    <t>+</t>
  </si>
  <si>
    <t>KANAL.</t>
  </si>
  <si>
    <t>abonentt.</t>
  </si>
  <si>
    <t xml:space="preserve">                                         </t>
  </si>
  <si>
    <t xml:space="preserve">            </t>
  </si>
  <si>
    <t>tasuga</t>
  </si>
  <si>
    <r>
      <t xml:space="preserve">     ABONENTTASU 1m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VEETEENUSTE KOHTA</t>
    </r>
  </si>
  <si>
    <t>VEETEENUSTE HIND ELANIKKONNALE (käibemaksuga)                      TABEL 2</t>
  </si>
  <si>
    <t>VEETEENUSTE HIND ETTEVÕTETELE                     TABEL 3</t>
  </si>
  <si>
    <t>Abonenttasu</t>
  </si>
  <si>
    <t>veeteenus</t>
  </si>
  <si>
    <t>veeteenue</t>
  </si>
  <si>
    <t>Elanikele</t>
  </si>
  <si>
    <t>Tõrva</t>
  </si>
  <si>
    <t>Ida-Virumaa</t>
  </si>
  <si>
    <t>Tõrva Linnahoolduse Asutus</t>
  </si>
  <si>
    <t>Tõrva Linnah.Asutus</t>
  </si>
  <si>
    <t>vesi-kanal.</t>
  </si>
  <si>
    <t>TARIIFID</t>
  </si>
  <si>
    <t>Vesi (tariif)</t>
  </si>
  <si>
    <t>Kanal.(tarrif)</t>
  </si>
  <si>
    <t>vesi+kanal.</t>
  </si>
  <si>
    <t>Kanal.(tariif)</t>
  </si>
  <si>
    <t>Paldiski Linnahoolduse  OÜ</t>
  </si>
  <si>
    <t>Käina</t>
  </si>
  <si>
    <t>Suuremõisa</t>
  </si>
  <si>
    <t>Palade</t>
  </si>
  <si>
    <t>Türi Vesi OÜ (linn)</t>
  </si>
  <si>
    <t>Sonda</t>
  </si>
  <si>
    <t>Erra</t>
  </si>
  <si>
    <t>Kodila küla</t>
  </si>
  <si>
    <t>ettevõtted</t>
  </si>
  <si>
    <t>Lahevesi AS</t>
  </si>
  <si>
    <t xml:space="preserve"> Tallinna Vesi AS</t>
  </si>
  <si>
    <t>Keila vald</t>
  </si>
  <si>
    <t>Keila  vald</t>
  </si>
  <si>
    <t>Kiviõli Vesi OÜ</t>
  </si>
  <si>
    <t>Kärdla Veevärk AS</t>
  </si>
  <si>
    <t>Paldiski Linnahoolduse OÜ</t>
  </si>
  <si>
    <t>Põlva Vesi  AS</t>
  </si>
  <si>
    <t>Pärnu Vesi AS</t>
  </si>
  <si>
    <t>Rakvere Vesi AS</t>
  </si>
  <si>
    <t>Rapla Vesi AS</t>
  </si>
  <si>
    <t>Keskmine</t>
  </si>
  <si>
    <t>Oisu</t>
  </si>
  <si>
    <t>Kabala</t>
  </si>
  <si>
    <t>Kirna</t>
  </si>
  <si>
    <t>Sindi</t>
  </si>
  <si>
    <t>Kärdla, Käina</t>
  </si>
  <si>
    <t>Sõmeru, Näpi</t>
  </si>
  <si>
    <t>Näpi, Sõmeru</t>
  </si>
  <si>
    <t>I grupp</t>
  </si>
  <si>
    <t>II grupp</t>
  </si>
  <si>
    <t>III grupp</t>
  </si>
  <si>
    <t>IV grupp</t>
  </si>
  <si>
    <t>V grupp</t>
  </si>
  <si>
    <t xml:space="preserve">Tartu Veevärk AS </t>
  </si>
  <si>
    <t xml:space="preserve">Kiviõli </t>
  </si>
  <si>
    <t>Kose Vesi OÜ</t>
  </si>
  <si>
    <t>Kose</t>
  </si>
  <si>
    <t>Alu, Hagudi, Iira, Kuusiku</t>
  </si>
  <si>
    <t>Rapla linn,Valtu, Uusküla</t>
  </si>
  <si>
    <t>Audru vald</t>
  </si>
  <si>
    <t>Pöide</t>
  </si>
  <si>
    <t>Kuresssare</t>
  </si>
  <si>
    <t>Matsalu Veevärk AS</t>
  </si>
  <si>
    <t xml:space="preserve"> Iivakivi AS</t>
  </si>
  <si>
    <t xml:space="preserve"> Kärdla Veevärk AS</t>
  </si>
  <si>
    <t>Tõrva Linnahool.Asutus</t>
  </si>
  <si>
    <t>Kuressaare Veevärk AS (linn)</t>
  </si>
  <si>
    <t>Strantum  OÜ</t>
  </si>
  <si>
    <t xml:space="preserve"> </t>
  </si>
  <si>
    <r>
      <t>seisuga 01.01.2010.a  (käibemaksuga)    kr/m</t>
    </r>
    <r>
      <rPr>
        <vertAlign val="superscript"/>
        <sz val="10"/>
        <rFont val="Arial"/>
        <family val="2"/>
      </rPr>
      <t xml:space="preserve">3            </t>
    </r>
  </si>
  <si>
    <t>seisuga 01.01.2010.a</t>
  </si>
  <si>
    <t>Põlsamaa Varahalduse OÜ</t>
  </si>
  <si>
    <t>Põltsamaa Varahalduse OÜ</t>
  </si>
  <si>
    <t xml:space="preserve">Haapsalu </t>
  </si>
  <si>
    <t xml:space="preserve"> Haapsalu linn, Uuemõisa, Kiltsi</t>
  </si>
  <si>
    <t>Vormsi</t>
  </si>
  <si>
    <t>Ridala vald,Panga, Jõõdre</t>
  </si>
  <si>
    <t xml:space="preserve"> Haapsalu, Uuemõisa, Kiltsi</t>
  </si>
  <si>
    <t>Haapsalu Veevärk  AS,linn</t>
  </si>
  <si>
    <t>Põltsama Varahalduse OÜ</t>
  </si>
  <si>
    <t>Märjamaa</t>
  </si>
  <si>
    <t>Kullamaa, Hanila, Koonga, Varbla</t>
  </si>
  <si>
    <t>Martna</t>
  </si>
  <si>
    <t>Vigala</t>
  </si>
  <si>
    <t>Emajõe Veevärk AS</t>
  </si>
  <si>
    <t>keskmine</t>
  </si>
  <si>
    <t>(keskmine)</t>
  </si>
  <si>
    <t>Emajõe Veevärk AS (keskm.)</t>
  </si>
  <si>
    <t>Emajõe Veevärk AS (keskm)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</si>
</sst>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00000"/>
    <numFmt numFmtId="177" formatCode="0.000000000"/>
    <numFmt numFmtId="178" formatCode="0.00000000"/>
    <numFmt numFmtId="179" formatCode="0.0000000"/>
    <numFmt numFmtId="180" formatCode="dd/mm/yyyy"/>
  </numFmts>
  <fonts count="18">
    <font>
      <sz val="10"/>
      <name val="Arial"/>
      <family val="0"/>
    </font>
    <font>
      <b/>
      <sz val="10"/>
      <name val="Arial"/>
      <family val="2"/>
    </font>
    <font>
      <b/>
      <sz val="12"/>
      <name val="Bookman Old Style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.25"/>
      <name val="Arial"/>
      <family val="0"/>
    </font>
    <font>
      <sz val="11.5"/>
      <name val="Arial"/>
      <family val="0"/>
    </font>
    <font>
      <sz val="8.25"/>
      <name val="Arial"/>
      <family val="2"/>
    </font>
    <font>
      <sz val="9.5"/>
      <name val="Arial"/>
      <family val="0"/>
    </font>
    <font>
      <b/>
      <vertAlign val="superscript"/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0"/>
    </font>
    <font>
      <sz val="6"/>
      <name val="Arial"/>
      <family val="2"/>
    </font>
    <font>
      <sz val="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/>
    </xf>
    <xf numFmtId="2" fontId="0" fillId="0" borderId="0" xfId="0" applyNumberFormat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2" fontId="3" fillId="0" borderId="1" xfId="0" applyNumberFormat="1" applyFont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3" fillId="0" borderId="20" xfId="0" applyFont="1" applyBorder="1" applyAlignment="1">
      <alignment/>
    </xf>
    <xf numFmtId="2" fontId="0" fillId="0" borderId="0" xfId="0" applyNumberFormat="1" applyFill="1" applyAlignment="1">
      <alignment/>
    </xf>
    <xf numFmtId="0" fontId="5" fillId="0" borderId="0" xfId="0" applyFont="1" applyFill="1" applyAlignment="1">
      <alignment/>
    </xf>
    <xf numFmtId="0" fontId="5" fillId="0" borderId="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75" fontId="3" fillId="0" borderId="1" xfId="0" applyNumberFormat="1" applyFont="1" applyFill="1" applyBorder="1" applyAlignment="1">
      <alignment horizontal="center"/>
    </xf>
    <xf numFmtId="174" fontId="3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29" xfId="0" applyFon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/>
    </xf>
    <xf numFmtId="0" fontId="3" fillId="0" borderId="32" xfId="0" applyFont="1" applyFill="1" applyBorder="1" applyAlignment="1">
      <alignment horizontal="center"/>
    </xf>
    <xf numFmtId="0" fontId="15" fillId="0" borderId="24" xfId="0" applyFont="1" applyFill="1" applyBorder="1" applyAlignment="1">
      <alignment/>
    </xf>
    <xf numFmtId="0" fontId="15" fillId="0" borderId="25" xfId="0" applyFont="1" applyFill="1" applyBorder="1" applyAlignment="1">
      <alignment/>
    </xf>
    <xf numFmtId="0" fontId="15" fillId="0" borderId="7" xfId="0" applyFont="1" applyFill="1" applyBorder="1" applyAlignment="1">
      <alignment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horizontal="left"/>
    </xf>
    <xf numFmtId="0" fontId="15" fillId="0" borderId="1" xfId="0" applyFont="1" applyBorder="1" applyAlignment="1">
      <alignment/>
    </xf>
    <xf numFmtId="0" fontId="15" fillId="0" borderId="0" xfId="0" applyFont="1" applyAlignment="1">
      <alignment/>
    </xf>
    <xf numFmtId="2" fontId="3" fillId="0" borderId="2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16" fillId="0" borderId="7" xfId="0" applyFont="1" applyFill="1" applyBorder="1" applyAlignment="1">
      <alignment/>
    </xf>
    <xf numFmtId="0" fontId="17" fillId="0" borderId="1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ETTEVÕTETELE ABONENTTASUGA (käibemaksuga) 
seisuga 01.01.2010.a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3625"/>
          <c:w val="0.9475"/>
          <c:h val="0.82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Ettevõtetele!$D$4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Ettevõtetele!$B$5:$C$36</c:f>
              <c:multiLvlStrCache/>
            </c:multiLvlStrRef>
          </c:cat>
          <c:val>
            <c:numRef>
              <c:f>Ettevõtetele!$D$5:$D$36</c:f>
              <c:numCache/>
            </c:numRef>
          </c:val>
        </c:ser>
        <c:ser>
          <c:idx val="1"/>
          <c:order val="1"/>
          <c:tx>
            <c:strRef>
              <c:f>Ettevõtetele!$E$4</c:f>
              <c:strCache>
                <c:ptCount val="1"/>
                <c:pt idx="0">
                  <c:v>Kanal.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C0C0C0"/>
              </a:solidFill>
            </c:spPr>
          </c:dPt>
          <c:dPt>
            <c:idx val="31"/>
            <c:invertIfNegative val="0"/>
            <c:spPr>
              <a:solidFill>
                <a:srgbClr val="0000FF"/>
              </a:solidFill>
            </c:spPr>
          </c:dPt>
          <c:cat>
            <c:multiLvlStrRef>
              <c:f>Ettevõtetele!$B$5:$C$36</c:f>
              <c:multiLvlStrCache/>
            </c:multiLvlStrRef>
          </c:cat>
          <c:val>
            <c:numRef>
              <c:f>Ettevõtetele!$E$5:$E$36</c:f>
              <c:numCache/>
            </c:numRef>
          </c:val>
        </c:ser>
        <c:overlap val="100"/>
        <c:axId val="57173072"/>
        <c:axId val="44795601"/>
      </c:barChart>
      <c:catAx>
        <c:axId val="571730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795601"/>
        <c:crosses val="autoZero"/>
        <c:auto val="1"/>
        <c:lblOffset val="80"/>
        <c:noMultiLvlLbl val="0"/>
      </c:catAx>
      <c:valAx>
        <c:axId val="4479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730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3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VEETEENUSTE HIND ELANIKKONNALE KOOS ABONENTTASUGA (käibemaksuga)
 seisuga 01.01.2010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1125"/>
          <c:w val="0.939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Elanikkonnale!$C$4</c:f>
              <c:strCache>
                <c:ptCount val="1"/>
                <c:pt idx="0">
                  <c:v>vesi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Elanikkonnale!$B$5:$B$37</c:f>
              <c:strCache/>
            </c:strRef>
          </c:cat>
          <c:val>
            <c:numRef>
              <c:f>Elanikkonnale!$C$5:$C$37</c:f>
              <c:numCache/>
            </c:numRef>
          </c:val>
        </c:ser>
        <c:ser>
          <c:idx val="1"/>
          <c:order val="1"/>
          <c:tx>
            <c:strRef>
              <c:f>Elanikkonnale!$D$4</c:f>
              <c:strCache>
                <c:ptCount val="1"/>
                <c:pt idx="0">
                  <c:v>kanal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C0C0C0"/>
              </a:solidFill>
            </c:spPr>
          </c:dPt>
          <c:cat>
            <c:strRef>
              <c:f>Elanikkonnale!$B$5:$B$37</c:f>
              <c:strCache/>
            </c:strRef>
          </c:cat>
          <c:val>
            <c:numRef>
              <c:f>Elanikkonnale!$D$5:$D$37</c:f>
              <c:numCache/>
            </c:numRef>
          </c:val>
        </c:ser>
        <c:overlap val="100"/>
        <c:axId val="507226"/>
        <c:axId val="4565035"/>
      </c:barChart>
      <c:catAx>
        <c:axId val="50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65035"/>
        <c:crosses val="autoZero"/>
        <c:auto val="1"/>
        <c:lblOffset val="100"/>
        <c:noMultiLvlLbl val="0"/>
      </c:catAx>
      <c:valAx>
        <c:axId val="4565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7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91675"/>
          <c:y val="0.02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Veeteenuste hind (vesi+kanal.) koos abonenttasuga (käibemaksuga) seisuga 01.01.2010</a:t>
            </a:r>
          </a:p>
        </c:rich>
      </c:tx>
      <c:layout>
        <c:manualLayout>
          <c:xMode val="factor"/>
          <c:yMode val="factor"/>
          <c:x val="-0.008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0725"/>
          <c:w val="0.9537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Graafik!$B$4</c:f>
              <c:strCache>
                <c:ptCount val="1"/>
                <c:pt idx="0">
                  <c:v>Elanikele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FF"/>
              </a:solidFill>
            </c:spPr>
          </c:dPt>
          <c:cat>
            <c:strRef>
              <c:f>Graafik!$A$5:$A$36</c:f>
              <c:strCache/>
            </c:strRef>
          </c:cat>
          <c:val>
            <c:numRef>
              <c:f>Graafik!$B$5:$B$36</c:f>
              <c:numCache/>
            </c:numRef>
          </c:val>
        </c:ser>
        <c:ser>
          <c:idx val="1"/>
          <c:order val="1"/>
          <c:tx>
            <c:strRef>
              <c:f>Graafik!$C$4</c:f>
              <c:strCache>
                <c:ptCount val="1"/>
                <c:pt idx="0">
                  <c:v>Asutustele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3366FF"/>
              </a:solidFill>
            </c:spPr>
          </c:dPt>
          <c:cat>
            <c:strRef>
              <c:f>Graafik!$A$5:$A$36</c:f>
              <c:strCache/>
            </c:strRef>
          </c:cat>
          <c:val>
            <c:numRef>
              <c:f>Graafik!$C$5:$C$36</c:f>
              <c:numCache/>
            </c:numRef>
          </c:val>
        </c:ser>
        <c:axId val="41085316"/>
        <c:axId val="34223525"/>
      </c:barChart>
      <c:catAx>
        <c:axId val="41085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28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23525"/>
        <c:crosses val="autoZero"/>
        <c:auto val="1"/>
        <c:lblOffset val="40"/>
        <c:noMultiLvlLbl val="0"/>
      </c:catAx>
      <c:valAx>
        <c:axId val="34223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kr/m</a:t>
                </a:r>
                <a:r>
                  <a:rPr lang="en-US" cap="none" sz="800" b="0" i="0" u="none" baseline="30000">
                    <a:latin typeface="Arial"/>
                    <a:ea typeface="Arial"/>
                    <a:cs typeface="Arial"/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0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0853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4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0.53375</cdr:x>
      <cdr:y>0.9355</cdr:y>
    </cdr:from>
    <cdr:to>
      <cdr:x>0.62</cdr:x>
      <cdr:y>0.976</cdr:y>
    </cdr:to>
    <cdr:sp>
      <cdr:nvSpPr>
        <cdr:cNvPr id="1" name="TextBox 1"/>
        <cdr:cNvSpPr txBox="1">
          <a:spLocks noChangeArrowheads="1"/>
        </cdr:cNvSpPr>
      </cdr:nvSpPr>
      <cdr:spPr>
        <a:xfrm>
          <a:off x="3133725" y="4410075"/>
          <a:ext cx="5048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JOON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3</xdr:row>
      <xdr:rowOff>47625</xdr:rowOff>
    </xdr:from>
    <xdr:to>
      <xdr:col>15</xdr:col>
      <xdr:colOff>590550</xdr:colOff>
      <xdr:row>32</xdr:row>
      <xdr:rowOff>66675</xdr:rowOff>
    </xdr:to>
    <xdr:graphicFrame>
      <xdr:nvGraphicFramePr>
        <xdr:cNvPr id="1" name="Chart 4"/>
        <xdr:cNvGraphicFramePr/>
      </xdr:nvGraphicFramePr>
      <xdr:xfrm>
        <a:off x="3228975" y="552450"/>
        <a:ext cx="5886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0.4205</cdr:x>
      <cdr:y>0.95225</cdr:y>
    </cdr:from>
    <cdr:to>
      <cdr:x>0.5145</cdr:x>
      <cdr:y>0.98525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33650" y="5143500"/>
          <a:ext cx="571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JOON 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</xdr:row>
      <xdr:rowOff>9525</xdr:rowOff>
    </xdr:from>
    <xdr:to>
      <xdr:col>14</xdr:col>
      <xdr:colOff>114300</xdr:colOff>
      <xdr:row>35</xdr:row>
      <xdr:rowOff>76200</xdr:rowOff>
    </xdr:to>
    <xdr:graphicFrame>
      <xdr:nvGraphicFramePr>
        <xdr:cNvPr id="1" name="Chart 7"/>
        <xdr:cNvGraphicFramePr/>
      </xdr:nvGraphicFramePr>
      <xdr:xfrm>
        <a:off x="3238500" y="352425"/>
        <a:ext cx="6038850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0.45025</cdr:x>
      <cdr:y>0.93425</cdr:y>
    </cdr:from>
    <cdr:to>
      <cdr:x>0.5375</cdr:x>
      <cdr:y>0.96775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5200650"/>
          <a:ext cx="5143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0.431</cdr:x>
      <cdr:y>0.9565</cdr:y>
    </cdr:from>
    <cdr:to>
      <cdr:x>0.52275</cdr:x>
      <cdr:y>0.98575</cdr:y>
    </cdr:to>
    <cdr:sp>
      <cdr:nvSpPr>
        <cdr:cNvPr id="2" name="TextBox 2"/>
        <cdr:cNvSpPr txBox="1">
          <a:spLocks noChangeArrowheads="1"/>
        </cdr:cNvSpPr>
      </cdr:nvSpPr>
      <cdr:spPr>
        <a:xfrm>
          <a:off x="2524125" y="5324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JOON 3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313372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2</xdr:row>
      <xdr:rowOff>0</xdr:rowOff>
    </xdr:from>
    <xdr:to>
      <xdr:col>12</xdr:col>
      <xdr:colOff>438150</xdr:colOff>
      <xdr:row>36</xdr:row>
      <xdr:rowOff>57150</xdr:rowOff>
    </xdr:to>
    <xdr:graphicFrame>
      <xdr:nvGraphicFramePr>
        <xdr:cNvPr id="2" name="Chart 9"/>
        <xdr:cNvGraphicFramePr/>
      </xdr:nvGraphicFramePr>
      <xdr:xfrm>
        <a:off x="2390775" y="333375"/>
        <a:ext cx="587692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43"/>
  <sheetViews>
    <sheetView workbookViewId="0" topLeftCell="A1">
      <selection activeCell="P20" sqref="P20"/>
    </sheetView>
  </sheetViews>
  <sheetFormatPr defaultColWidth="9.140625" defaultRowHeight="12.75"/>
  <cols>
    <col min="1" max="1" width="21.140625" style="8" customWidth="1"/>
    <col min="2" max="2" width="9.140625" style="8" customWidth="1"/>
    <col min="3" max="3" width="8.421875" style="8" customWidth="1"/>
    <col min="4" max="4" width="8.28125" style="8" customWidth="1"/>
    <col min="5" max="5" width="9.140625" style="8" customWidth="1"/>
    <col min="6" max="7" width="8.421875" style="8" customWidth="1"/>
    <col min="8" max="8" width="8.8515625" style="8" customWidth="1"/>
    <col min="9" max="10" width="9.140625" style="8" customWidth="1"/>
    <col min="11" max="11" width="8.7109375" style="8" customWidth="1"/>
    <col min="12" max="12" width="9.00390625" style="8" customWidth="1"/>
    <col min="13" max="13" width="9.28125" style="8" customWidth="1"/>
    <col min="14" max="14" width="8.7109375" style="8" customWidth="1"/>
    <col min="15" max="16" width="11.8515625" style="0" customWidth="1"/>
  </cols>
  <sheetData>
    <row r="3" spans="11:14" ht="12.75">
      <c r="K3"/>
      <c r="L3"/>
      <c r="M3"/>
      <c r="N3"/>
    </row>
    <row r="4" spans="1:18" ht="15.75">
      <c r="A4" s="61" t="s">
        <v>112</v>
      </c>
      <c r="B4" s="6"/>
      <c r="C4" s="6"/>
      <c r="D4" s="6"/>
      <c r="E4" s="6"/>
      <c r="F4" s="6"/>
      <c r="G4" s="6"/>
      <c r="H4" s="6"/>
      <c r="I4" s="6"/>
      <c r="J4" s="6"/>
      <c r="K4"/>
      <c r="L4"/>
      <c r="M4" t="s">
        <v>94</v>
      </c>
      <c r="R4" s="2"/>
    </row>
    <row r="5" spans="1:14" ht="12.75">
      <c r="A5" s="11"/>
      <c r="B5" s="12"/>
      <c r="C5" s="22" t="s">
        <v>100</v>
      </c>
      <c r="D5" s="22" t="s">
        <v>100</v>
      </c>
      <c r="E5" s="22" t="s">
        <v>88</v>
      </c>
      <c r="F5" s="22" t="s">
        <v>88</v>
      </c>
      <c r="G5" s="46" t="s">
        <v>95</v>
      </c>
      <c r="H5" s="46" t="s">
        <v>95</v>
      </c>
      <c r="I5" s="19" t="s">
        <v>97</v>
      </c>
      <c r="J5" s="19" t="s">
        <v>97</v>
      </c>
      <c r="K5" s="22" t="s">
        <v>115</v>
      </c>
      <c r="L5" s="22" t="s">
        <v>115</v>
      </c>
      <c r="M5" s="22" t="s">
        <v>115</v>
      </c>
      <c r="N5" s="22" t="s">
        <v>115</v>
      </c>
    </row>
    <row r="6" spans="1:14" ht="12.75">
      <c r="A6" s="10"/>
      <c r="B6" s="20" t="s">
        <v>79</v>
      </c>
      <c r="C6" s="15"/>
      <c r="D6" s="15"/>
      <c r="E6" s="15" t="s">
        <v>101</v>
      </c>
      <c r="F6" s="15" t="s">
        <v>101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102</v>
      </c>
      <c r="L6" s="15" t="s">
        <v>102</v>
      </c>
      <c r="M6" s="15" t="s">
        <v>102</v>
      </c>
      <c r="N6" s="15" t="s">
        <v>102</v>
      </c>
    </row>
    <row r="7" spans="1:14" ht="12.75">
      <c r="A7" s="15" t="s">
        <v>3</v>
      </c>
      <c r="B7" s="20" t="s">
        <v>61</v>
      </c>
      <c r="C7" s="15"/>
      <c r="D7" s="15"/>
      <c r="E7" s="15"/>
      <c r="F7" s="15"/>
      <c r="G7" s="15" t="s">
        <v>96</v>
      </c>
      <c r="H7" s="15" t="s">
        <v>96</v>
      </c>
      <c r="I7" s="15" t="s">
        <v>96</v>
      </c>
      <c r="J7" s="15" t="s">
        <v>96</v>
      </c>
      <c r="K7" s="15" t="s">
        <v>103</v>
      </c>
      <c r="L7" s="15" t="s">
        <v>103</v>
      </c>
      <c r="M7" s="15" t="s">
        <v>103</v>
      </c>
      <c r="N7" s="15" t="s">
        <v>103</v>
      </c>
    </row>
    <row r="8" spans="1:14" ht="12.75">
      <c r="A8" s="10"/>
      <c r="B8" s="14"/>
      <c r="C8" s="15" t="s">
        <v>99</v>
      </c>
      <c r="D8" s="15" t="s">
        <v>99</v>
      </c>
      <c r="E8" s="15" t="s">
        <v>99</v>
      </c>
      <c r="F8" s="15" t="s">
        <v>99</v>
      </c>
      <c r="G8" s="15" t="s">
        <v>98</v>
      </c>
      <c r="H8" s="15" t="s">
        <v>98</v>
      </c>
      <c r="I8" s="15" t="s">
        <v>98</v>
      </c>
      <c r="J8" s="15" t="s">
        <v>98</v>
      </c>
      <c r="K8" s="15" t="s">
        <v>116</v>
      </c>
      <c r="L8" s="15" t="s">
        <v>104</v>
      </c>
      <c r="M8" s="15" t="s">
        <v>117</v>
      </c>
      <c r="N8" s="15" t="s">
        <v>104</v>
      </c>
    </row>
    <row r="9" spans="1:14" ht="12.75">
      <c r="A9" s="16"/>
      <c r="B9" s="13"/>
      <c r="C9" s="17"/>
      <c r="D9" s="17"/>
      <c r="E9" s="17"/>
      <c r="F9" s="17"/>
      <c r="G9" s="17" t="s">
        <v>40</v>
      </c>
      <c r="H9" s="17" t="s">
        <v>40</v>
      </c>
      <c r="I9" s="17" t="s">
        <v>40</v>
      </c>
      <c r="J9" s="17" t="s">
        <v>40</v>
      </c>
      <c r="K9" s="15"/>
      <c r="L9" s="15"/>
      <c r="M9" s="17"/>
      <c r="N9" s="17"/>
    </row>
    <row r="10" spans="1:14" ht="12.75">
      <c r="A10" s="18"/>
      <c r="B10" s="18"/>
      <c r="C10" s="17" t="s">
        <v>64</v>
      </c>
      <c r="D10" s="17" t="s">
        <v>65</v>
      </c>
      <c r="E10" s="17" t="s">
        <v>64</v>
      </c>
      <c r="F10" s="17" t="s">
        <v>65</v>
      </c>
      <c r="G10" s="17" t="s">
        <v>64</v>
      </c>
      <c r="H10" s="18" t="s">
        <v>65</v>
      </c>
      <c r="I10" s="18" t="s">
        <v>64</v>
      </c>
      <c r="J10" s="66" t="s">
        <v>65</v>
      </c>
      <c r="K10" s="18" t="s">
        <v>64</v>
      </c>
      <c r="L10" s="18" t="s">
        <v>64</v>
      </c>
      <c r="M10" s="67" t="s">
        <v>65</v>
      </c>
      <c r="N10" s="18" t="s">
        <v>65</v>
      </c>
    </row>
    <row r="11" spans="1:14" ht="12.75">
      <c r="A11" s="3" t="s">
        <v>28</v>
      </c>
      <c r="B11" s="3" t="s">
        <v>9</v>
      </c>
      <c r="C11" s="18"/>
      <c r="D11" s="18"/>
      <c r="E11" s="18"/>
      <c r="F11" s="18"/>
      <c r="G11" s="18"/>
      <c r="H11" s="18"/>
      <c r="I11" s="18"/>
      <c r="J11" s="18"/>
      <c r="K11" s="17"/>
      <c r="L11" s="17"/>
      <c r="M11" s="18"/>
      <c r="N11" s="68"/>
    </row>
    <row r="12" spans="1:14" ht="12.75">
      <c r="A12" s="3" t="s">
        <v>172</v>
      </c>
      <c r="B12" s="3" t="s">
        <v>49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68"/>
    </row>
    <row r="13" spans="1:14" ht="12.75">
      <c r="A13" s="3" t="s">
        <v>42</v>
      </c>
      <c r="B13" s="3" t="s">
        <v>13</v>
      </c>
      <c r="C13" s="18">
        <v>122</v>
      </c>
      <c r="D13" s="18">
        <v>43</v>
      </c>
      <c r="E13" s="18">
        <v>120</v>
      </c>
      <c r="F13" s="18">
        <v>40</v>
      </c>
      <c r="G13" s="18">
        <v>115</v>
      </c>
      <c r="H13" s="18">
        <v>48</v>
      </c>
      <c r="I13" s="18">
        <v>110</v>
      </c>
      <c r="J13" s="18">
        <v>47</v>
      </c>
      <c r="K13" s="47">
        <f>G13/C13</f>
        <v>0.9426229508196722</v>
      </c>
      <c r="L13" s="47">
        <f>I13/E13</f>
        <v>0.9166666666666666</v>
      </c>
      <c r="M13" s="47">
        <f>H13/D13</f>
        <v>1.1162790697674418</v>
      </c>
      <c r="N13" s="47">
        <f>J13/F13</f>
        <v>1.175</v>
      </c>
    </row>
    <row r="14" spans="1:14" ht="12.75">
      <c r="A14" s="3" t="s">
        <v>29</v>
      </c>
      <c r="B14" s="9" t="s">
        <v>24</v>
      </c>
      <c r="C14" s="18"/>
      <c r="D14" s="18"/>
      <c r="E14" s="18"/>
      <c r="F14" s="18"/>
      <c r="G14" s="18"/>
      <c r="H14" s="18"/>
      <c r="I14" s="18"/>
      <c r="J14" s="18"/>
      <c r="K14" s="47"/>
      <c r="L14" s="47"/>
      <c r="M14" s="47"/>
      <c r="N14" s="47"/>
    </row>
    <row r="15" spans="1:14" ht="12.75">
      <c r="A15" s="3" t="s">
        <v>63</v>
      </c>
      <c r="B15" s="9" t="s">
        <v>120</v>
      </c>
      <c r="C15" s="18">
        <v>1382</v>
      </c>
      <c r="D15" s="18">
        <v>409</v>
      </c>
      <c r="E15" s="18"/>
      <c r="F15" s="18"/>
      <c r="G15" s="18">
        <v>93</v>
      </c>
      <c r="H15" s="18">
        <v>11</v>
      </c>
      <c r="I15" s="18"/>
      <c r="J15" s="18"/>
      <c r="K15" s="47">
        <f>G15/C15</f>
        <v>0.06729377713458755</v>
      </c>
      <c r="L15" s="47"/>
      <c r="M15" s="47">
        <f>H15/D15</f>
        <v>0.02689486552567237</v>
      </c>
      <c r="N15" s="47"/>
    </row>
    <row r="16" spans="1:14" ht="12.75">
      <c r="A16" s="3" t="s">
        <v>41</v>
      </c>
      <c r="B16" s="3" t="s">
        <v>21</v>
      </c>
      <c r="C16" s="18"/>
      <c r="D16" s="18"/>
      <c r="E16" s="18"/>
      <c r="F16" s="18"/>
      <c r="G16" s="18"/>
      <c r="H16" s="18"/>
      <c r="I16" s="18"/>
      <c r="J16" s="18"/>
      <c r="K16" s="47"/>
      <c r="L16" s="47"/>
      <c r="M16" s="47"/>
      <c r="N16" s="47"/>
    </row>
    <row r="17" spans="1:14" ht="12.75">
      <c r="A17" s="3" t="s">
        <v>30</v>
      </c>
      <c r="B17" s="3" t="s">
        <v>11</v>
      </c>
      <c r="C17" s="18">
        <v>278</v>
      </c>
      <c r="D17" s="18">
        <v>69</v>
      </c>
      <c r="E17" s="18">
        <v>270</v>
      </c>
      <c r="F17" s="18">
        <v>103</v>
      </c>
      <c r="G17" s="18">
        <v>613</v>
      </c>
      <c r="H17" s="18">
        <v>40</v>
      </c>
      <c r="I17" s="18">
        <v>477</v>
      </c>
      <c r="J17" s="18">
        <v>35</v>
      </c>
      <c r="K17" s="47">
        <f>G17/C17</f>
        <v>2.2050359712230216</v>
      </c>
      <c r="L17" s="47">
        <f>I17/E17</f>
        <v>1.7666666666666666</v>
      </c>
      <c r="M17" s="47">
        <f>H17/D17</f>
        <v>0.5797101449275363</v>
      </c>
      <c r="N17" s="47">
        <f>J17/F17</f>
        <v>0.33980582524271846</v>
      </c>
    </row>
    <row r="18" spans="1:14" ht="12.75">
      <c r="A18" s="3" t="s">
        <v>142</v>
      </c>
      <c r="B18" s="3" t="s">
        <v>19</v>
      </c>
      <c r="C18" s="18">
        <v>196</v>
      </c>
      <c r="D18" s="18">
        <v>39</v>
      </c>
      <c r="E18" s="18">
        <v>150</v>
      </c>
      <c r="F18" s="18">
        <v>27</v>
      </c>
      <c r="G18" s="18">
        <v>217</v>
      </c>
      <c r="H18" s="18">
        <v>17</v>
      </c>
      <c r="I18" s="18">
        <v>86</v>
      </c>
      <c r="J18" s="18">
        <v>20</v>
      </c>
      <c r="K18" s="47">
        <f>G18/C18</f>
        <v>1.1071428571428572</v>
      </c>
      <c r="L18" s="47">
        <f>I18/E18</f>
        <v>0.5733333333333334</v>
      </c>
      <c r="M18" s="47">
        <f>H18/D18</f>
        <v>0.4358974358974359</v>
      </c>
      <c r="N18" s="47">
        <f>J18/F18</f>
        <v>0.7407407407407407</v>
      </c>
    </row>
    <row r="19" spans="1:14" ht="12.75">
      <c r="A19" s="3" t="s">
        <v>53</v>
      </c>
      <c r="B19" s="3" t="s">
        <v>52</v>
      </c>
      <c r="C19" s="18"/>
      <c r="D19" s="18"/>
      <c r="E19" s="18"/>
      <c r="F19" s="18"/>
      <c r="G19" s="18"/>
      <c r="H19" s="18"/>
      <c r="I19" s="18"/>
      <c r="J19" s="18"/>
      <c r="K19" s="47"/>
      <c r="L19" s="47"/>
      <c r="M19" s="47"/>
      <c r="N19" s="47"/>
    </row>
    <row r="20" spans="1:14" ht="12.75">
      <c r="A20" s="3" t="s">
        <v>164</v>
      </c>
      <c r="B20" s="3" t="s">
        <v>165</v>
      </c>
      <c r="C20" s="18">
        <v>87</v>
      </c>
      <c r="D20" s="18">
        <v>38</v>
      </c>
      <c r="E20" s="18">
        <v>84</v>
      </c>
      <c r="F20" s="18">
        <v>31</v>
      </c>
      <c r="G20" s="18">
        <v>147</v>
      </c>
      <c r="H20" s="18">
        <v>25</v>
      </c>
      <c r="I20" s="18">
        <v>203</v>
      </c>
      <c r="J20" s="18">
        <v>34</v>
      </c>
      <c r="K20" s="47">
        <f>G20/C20</f>
        <v>1.6896551724137931</v>
      </c>
      <c r="L20" s="47">
        <f>I20/E20</f>
        <v>2.4166666666666665</v>
      </c>
      <c r="M20" s="47">
        <f>H20/D20</f>
        <v>0.6578947368421053</v>
      </c>
      <c r="N20" s="47">
        <f>J20/F20</f>
        <v>1.096774193548387</v>
      </c>
    </row>
    <row r="21" spans="1:14" ht="12.75">
      <c r="A21" s="3" t="s">
        <v>31</v>
      </c>
      <c r="B21" s="3" t="s">
        <v>8</v>
      </c>
      <c r="C21" s="18">
        <v>384</v>
      </c>
      <c r="D21" s="18">
        <v>286</v>
      </c>
      <c r="E21" s="18">
        <v>381</v>
      </c>
      <c r="F21" s="18">
        <v>597</v>
      </c>
      <c r="G21" s="18">
        <v>380</v>
      </c>
      <c r="H21" s="18">
        <v>169</v>
      </c>
      <c r="I21" s="18">
        <v>374</v>
      </c>
      <c r="J21" s="18">
        <v>162</v>
      </c>
      <c r="K21" s="47">
        <f>G21/C21</f>
        <v>0.9895833333333334</v>
      </c>
      <c r="L21" s="47">
        <f>I21/E21</f>
        <v>0.9816272965879265</v>
      </c>
      <c r="M21" s="47">
        <f>H21/D21</f>
        <v>0.5909090909090909</v>
      </c>
      <c r="N21" s="47">
        <f>J21/F21</f>
        <v>0.271356783919598</v>
      </c>
    </row>
    <row r="22" spans="1:14" ht="12.75">
      <c r="A22" s="3" t="s">
        <v>143</v>
      </c>
      <c r="B22" s="3" t="s">
        <v>17</v>
      </c>
      <c r="C22" s="18">
        <v>87.8</v>
      </c>
      <c r="D22" s="18">
        <v>49.8</v>
      </c>
      <c r="E22" s="18">
        <v>80.5</v>
      </c>
      <c r="F22" s="18">
        <v>38.4</v>
      </c>
      <c r="G22" s="18">
        <v>212</v>
      </c>
      <c r="H22" s="18">
        <v>106</v>
      </c>
      <c r="I22" s="18">
        <v>202</v>
      </c>
      <c r="J22" s="18">
        <v>105</v>
      </c>
      <c r="K22" s="47">
        <f>G22/C22</f>
        <v>2.414578587699317</v>
      </c>
      <c r="L22" s="47">
        <f>I22/E22</f>
        <v>2.5093167701863353</v>
      </c>
      <c r="M22" s="47">
        <f>H22/D22</f>
        <v>2.1285140562249</v>
      </c>
      <c r="N22" s="47">
        <f>J22/F22</f>
        <v>2.734375</v>
      </c>
    </row>
    <row r="23" spans="1:14" ht="12.75">
      <c r="A23" s="3" t="s">
        <v>138</v>
      </c>
      <c r="B23" s="3"/>
      <c r="C23" s="18"/>
      <c r="D23" s="18"/>
      <c r="E23" s="18"/>
      <c r="F23" s="18"/>
      <c r="G23" s="18"/>
      <c r="H23" s="18"/>
      <c r="I23" s="18"/>
      <c r="J23" s="18"/>
      <c r="K23" s="47"/>
      <c r="L23" s="47"/>
      <c r="M23" s="47"/>
      <c r="N23" s="47"/>
    </row>
    <row r="24" spans="1:14" ht="12.75">
      <c r="A24" s="3" t="s">
        <v>43</v>
      </c>
      <c r="B24" s="3" t="s">
        <v>18</v>
      </c>
      <c r="C24" s="18"/>
      <c r="D24" s="18"/>
      <c r="E24" s="18"/>
      <c r="F24" s="18"/>
      <c r="G24" s="18"/>
      <c r="H24" s="18"/>
      <c r="I24" s="18"/>
      <c r="J24" s="18"/>
      <c r="K24" s="47"/>
      <c r="L24" s="47"/>
      <c r="M24" s="47"/>
      <c r="N24" s="47"/>
    </row>
    <row r="25" spans="1:14" ht="12.75">
      <c r="A25" s="3" t="s">
        <v>32</v>
      </c>
      <c r="B25" s="3" t="s">
        <v>10</v>
      </c>
      <c r="C25" s="18">
        <v>207.6</v>
      </c>
      <c r="D25" s="18">
        <v>122.6</v>
      </c>
      <c r="E25" s="18">
        <v>204.9</v>
      </c>
      <c r="F25" s="18">
        <v>97</v>
      </c>
      <c r="G25" s="18">
        <v>393.1</v>
      </c>
      <c r="H25" s="18">
        <v>306.9</v>
      </c>
      <c r="I25" s="18">
        <v>380.9</v>
      </c>
      <c r="J25" s="18">
        <v>284</v>
      </c>
      <c r="K25" s="47">
        <f>G25/C25</f>
        <v>1.8935452793834298</v>
      </c>
      <c r="L25" s="47">
        <f>I25/E25</f>
        <v>1.8589555880917519</v>
      </c>
      <c r="M25" s="47">
        <f>H25/D25</f>
        <v>2.5032626427406197</v>
      </c>
      <c r="N25" s="47">
        <f>J25/F25</f>
        <v>2.9278350515463916</v>
      </c>
    </row>
    <row r="26" spans="1:14" ht="12.75">
      <c r="A26" s="3" t="s">
        <v>144</v>
      </c>
      <c r="B26" s="3" t="s">
        <v>25</v>
      </c>
      <c r="C26" s="18"/>
      <c r="D26" s="18"/>
      <c r="E26" s="18"/>
      <c r="F26" s="18"/>
      <c r="G26" s="18"/>
      <c r="H26" s="18"/>
      <c r="I26" s="18"/>
      <c r="J26" s="18"/>
      <c r="K26" s="47"/>
      <c r="L26" s="47"/>
      <c r="M26" s="47"/>
      <c r="N26" s="47"/>
    </row>
    <row r="27" spans="1:14" ht="12.75">
      <c r="A27" s="3" t="s">
        <v>145</v>
      </c>
      <c r="B27" s="3" t="s">
        <v>12</v>
      </c>
      <c r="C27" s="18"/>
      <c r="D27" s="18"/>
      <c r="E27" s="18"/>
      <c r="F27" s="18"/>
      <c r="G27" s="18"/>
      <c r="H27" s="18"/>
      <c r="I27" s="18"/>
      <c r="J27" s="18"/>
      <c r="K27" s="47"/>
      <c r="L27" s="47"/>
      <c r="M27" s="47"/>
      <c r="N27" s="47"/>
    </row>
    <row r="28" spans="1:14" ht="12.75">
      <c r="A28" s="3" t="s">
        <v>146</v>
      </c>
      <c r="B28" s="3" t="s">
        <v>5</v>
      </c>
      <c r="C28" s="18">
        <v>1229</v>
      </c>
      <c r="D28" s="18">
        <v>826.6</v>
      </c>
      <c r="E28" s="18">
        <v>1153.8</v>
      </c>
      <c r="F28" s="18">
        <v>976.3</v>
      </c>
      <c r="G28" s="18">
        <v>65.2</v>
      </c>
      <c r="H28" s="18">
        <v>4.9</v>
      </c>
      <c r="I28" s="18">
        <v>60.9</v>
      </c>
      <c r="J28" s="18">
        <v>5.1</v>
      </c>
      <c r="K28" s="47">
        <f>G28/C28</f>
        <v>0.05305126118795769</v>
      </c>
      <c r="L28" s="47">
        <f>I28/E28</f>
        <v>0.05278211128445138</v>
      </c>
      <c r="M28" s="47">
        <f>H28/D28</f>
        <v>0.005927897411081539</v>
      </c>
      <c r="N28" s="47">
        <f>J28/F28</f>
        <v>0.00522380415855782</v>
      </c>
    </row>
    <row r="29" spans="1:14" ht="12.75">
      <c r="A29" s="3" t="s">
        <v>147</v>
      </c>
      <c r="B29" s="3" t="s">
        <v>7</v>
      </c>
      <c r="C29" s="18"/>
      <c r="D29" s="18"/>
      <c r="E29" s="18"/>
      <c r="F29" s="18"/>
      <c r="G29" s="18"/>
      <c r="H29" s="18"/>
      <c r="I29" s="18"/>
      <c r="J29" s="18"/>
      <c r="K29" s="47"/>
      <c r="L29" s="47"/>
      <c r="M29" s="47"/>
      <c r="N29" s="47"/>
    </row>
    <row r="30" spans="1:14" ht="12.75">
      <c r="A30" s="3" t="s">
        <v>148</v>
      </c>
      <c r="B30" s="3" t="s">
        <v>16</v>
      </c>
      <c r="C30" s="18"/>
      <c r="D30" s="18"/>
      <c r="E30" s="18"/>
      <c r="F30" s="18"/>
      <c r="G30" s="18"/>
      <c r="H30" s="18"/>
      <c r="I30" s="18"/>
      <c r="J30" s="18"/>
      <c r="K30" s="47"/>
      <c r="L30" s="47"/>
      <c r="M30" s="47"/>
      <c r="N30" s="47"/>
    </row>
    <row r="31" spans="1:14" ht="12.75">
      <c r="A31" s="3" t="s">
        <v>47</v>
      </c>
      <c r="B31" s="3" t="s">
        <v>45</v>
      </c>
      <c r="C31" s="18">
        <v>617</v>
      </c>
      <c r="D31" s="18">
        <v>95</v>
      </c>
      <c r="E31" s="18">
        <v>616.2</v>
      </c>
      <c r="F31" s="18">
        <v>206.7</v>
      </c>
      <c r="G31" s="18">
        <v>97.9</v>
      </c>
      <c r="H31" s="18">
        <v>125.9</v>
      </c>
      <c r="I31" s="18">
        <v>97.9</v>
      </c>
      <c r="J31" s="18">
        <v>126</v>
      </c>
      <c r="K31" s="47">
        <f>G31/C31</f>
        <v>0.15867098865478121</v>
      </c>
      <c r="L31" s="47">
        <f>I31/E31</f>
        <v>0.15887698799091204</v>
      </c>
      <c r="M31" s="47">
        <f>H31/D31</f>
        <v>1.325263157894737</v>
      </c>
      <c r="N31" s="47">
        <f>J31/F31</f>
        <v>0.6095791001451379</v>
      </c>
    </row>
    <row r="32" spans="1:14" ht="12.75">
      <c r="A32" s="3" t="s">
        <v>176</v>
      </c>
      <c r="B32" s="3" t="s">
        <v>20</v>
      </c>
      <c r="C32" s="18"/>
      <c r="D32" s="18"/>
      <c r="E32" s="18"/>
      <c r="F32" s="18"/>
      <c r="G32" s="18"/>
      <c r="H32" s="18"/>
      <c r="I32" s="18"/>
      <c r="J32" s="18"/>
      <c r="K32" s="47"/>
      <c r="L32" s="47"/>
      <c r="M32" s="47"/>
      <c r="N32" s="47"/>
    </row>
    <row r="33" spans="1:14" ht="12.75">
      <c r="A33" s="3" t="s">
        <v>50</v>
      </c>
      <c r="B33" s="3" t="s">
        <v>27</v>
      </c>
      <c r="C33" s="18"/>
      <c r="D33" s="18"/>
      <c r="E33" s="18"/>
      <c r="F33" s="18"/>
      <c r="G33" s="18"/>
      <c r="H33" s="18"/>
      <c r="I33" s="18"/>
      <c r="J33" s="18"/>
      <c r="K33" s="47"/>
      <c r="L33" s="47"/>
      <c r="M33" s="47"/>
      <c r="N33" s="47"/>
    </row>
    <row r="34" spans="1:14" ht="12.75">
      <c r="A34" s="3" t="s">
        <v>33</v>
      </c>
      <c r="B34" s="3" t="s">
        <v>15</v>
      </c>
      <c r="C34" s="18"/>
      <c r="D34" s="18"/>
      <c r="E34" s="18"/>
      <c r="F34" s="18"/>
      <c r="G34" s="18"/>
      <c r="H34" s="18"/>
      <c r="I34" s="18"/>
      <c r="J34" s="18"/>
      <c r="K34" s="47"/>
      <c r="L34" s="47"/>
      <c r="M34" s="47"/>
      <c r="N34" s="47"/>
    </row>
    <row r="35" spans="1:14" ht="12.75">
      <c r="A35" s="3" t="s">
        <v>34</v>
      </c>
      <c r="B35" s="3" t="s">
        <v>4</v>
      </c>
      <c r="C35" s="18"/>
      <c r="D35" s="18"/>
      <c r="E35" s="18"/>
      <c r="F35" s="18"/>
      <c r="G35" s="18"/>
      <c r="H35" s="18"/>
      <c r="I35" s="18"/>
      <c r="J35" s="18"/>
      <c r="K35" s="47"/>
      <c r="L35" s="47"/>
      <c r="M35" s="47"/>
      <c r="N35" s="47"/>
    </row>
    <row r="36" spans="1:14" ht="12.75">
      <c r="A36" s="3" t="s">
        <v>121</v>
      </c>
      <c r="B36" s="3" t="s">
        <v>119</v>
      </c>
      <c r="C36" s="18"/>
      <c r="D36" s="18"/>
      <c r="E36" s="18"/>
      <c r="F36" s="18"/>
      <c r="G36" s="18"/>
      <c r="H36" s="18"/>
      <c r="I36" s="18"/>
      <c r="J36" s="18"/>
      <c r="K36" s="47"/>
      <c r="L36" s="47"/>
      <c r="M36" s="47"/>
      <c r="N36" s="47"/>
    </row>
    <row r="37" spans="1:14" ht="12.75">
      <c r="A37" s="3" t="s">
        <v>35</v>
      </c>
      <c r="B37" s="3" t="s">
        <v>14</v>
      </c>
      <c r="C37" s="18"/>
      <c r="D37" s="18"/>
      <c r="E37" s="18"/>
      <c r="F37" s="18"/>
      <c r="G37" s="18"/>
      <c r="H37" s="18"/>
      <c r="I37" s="18"/>
      <c r="J37" s="18"/>
      <c r="K37" s="47"/>
      <c r="L37" s="47"/>
      <c r="M37" s="47"/>
      <c r="N37" s="47"/>
    </row>
    <row r="38" spans="1:14" ht="12.75">
      <c r="A38" s="3" t="s">
        <v>48</v>
      </c>
      <c r="B38" s="3" t="s">
        <v>46</v>
      </c>
      <c r="C38" s="18"/>
      <c r="D38" s="18"/>
      <c r="E38" s="18"/>
      <c r="F38" s="18"/>
      <c r="G38" s="18"/>
      <c r="H38" s="18"/>
      <c r="I38" s="18"/>
      <c r="J38" s="18"/>
      <c r="K38" s="47"/>
      <c r="L38" s="47"/>
      <c r="M38" s="47"/>
      <c r="N38" s="47"/>
    </row>
    <row r="39" spans="1:14" ht="12.75">
      <c r="A39" s="3" t="s">
        <v>36</v>
      </c>
      <c r="B39" s="3" t="s">
        <v>6</v>
      </c>
      <c r="C39" s="18"/>
      <c r="D39" s="18"/>
      <c r="E39" s="18"/>
      <c r="F39" s="18"/>
      <c r="G39" s="18"/>
      <c r="H39" s="18"/>
      <c r="I39" s="18"/>
      <c r="J39" s="18"/>
      <c r="K39" s="47"/>
      <c r="L39" s="47"/>
      <c r="M39" s="47"/>
      <c r="N39" s="47"/>
    </row>
    <row r="40" spans="1:14" ht="12.75">
      <c r="A40" s="3" t="s">
        <v>37</v>
      </c>
      <c r="B40" s="3" t="s">
        <v>23</v>
      </c>
      <c r="C40" s="18"/>
      <c r="D40" s="18"/>
      <c r="E40" s="18"/>
      <c r="F40" s="18"/>
      <c r="G40" s="18"/>
      <c r="H40" s="18"/>
      <c r="I40" s="18"/>
      <c r="J40" s="18"/>
      <c r="K40" s="47"/>
      <c r="L40" s="47"/>
      <c r="M40" s="47"/>
      <c r="N40" s="69"/>
    </row>
    <row r="41" spans="1:14" ht="12.75">
      <c r="A41" s="7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3" spans="13:14" ht="12.75">
      <c r="M43" s="60"/>
      <c r="N43" s="60"/>
    </row>
  </sheetData>
  <printOptions/>
  <pageMargins left="0.03937007874015748" right="0.03937007874015748" top="0.07874015748031496" bottom="0.3937007874015748" header="0.1968503937007874" footer="0.5118110236220472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workbookViewId="0" topLeftCell="A70">
      <selection activeCell="C80" sqref="C80"/>
    </sheetView>
  </sheetViews>
  <sheetFormatPr defaultColWidth="9.140625" defaultRowHeight="12.75"/>
  <cols>
    <col min="1" max="1" width="18.7109375" style="0" customWidth="1"/>
    <col min="2" max="2" width="16.00390625" style="100" customWidth="1"/>
    <col min="3" max="3" width="8.8515625" style="0" customWidth="1"/>
    <col min="4" max="4" width="8.28125" style="0" customWidth="1"/>
    <col min="5" max="7" width="9.00390625" style="0" customWidth="1"/>
    <col min="8" max="8" width="8.57421875" style="0" customWidth="1"/>
    <col min="9" max="9" width="7.7109375" style="0" hidden="1" customWidth="1"/>
    <col min="10" max="10" width="15.421875" style="0" hidden="1" customWidth="1"/>
    <col min="11" max="11" width="9.28125" style="0" hidden="1" customWidth="1"/>
  </cols>
  <sheetData>
    <row r="2" spans="1:11" ht="12.75">
      <c r="A2" s="108" t="s">
        <v>114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09" t="s">
        <v>178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1" ht="12.75">
      <c r="A4" s="54"/>
      <c r="B4" s="94"/>
      <c r="C4" s="110" t="s">
        <v>124</v>
      </c>
      <c r="D4" s="111"/>
      <c r="E4" s="112"/>
      <c r="F4" s="72" t="s">
        <v>125</v>
      </c>
      <c r="G4" s="50" t="s">
        <v>128</v>
      </c>
      <c r="H4" s="36" t="s">
        <v>105</v>
      </c>
      <c r="I4" s="20" t="s">
        <v>0</v>
      </c>
      <c r="J4" s="15" t="s">
        <v>1</v>
      </c>
      <c r="K4" s="42" t="s">
        <v>54</v>
      </c>
    </row>
    <row r="5" spans="1:11" ht="12.75">
      <c r="A5" s="43"/>
      <c r="B5" s="93" t="s">
        <v>60</v>
      </c>
      <c r="C5" s="78"/>
      <c r="D5" s="76"/>
      <c r="E5" s="79"/>
      <c r="F5" s="73" t="s">
        <v>106</v>
      </c>
      <c r="G5" s="33" t="s">
        <v>106</v>
      </c>
      <c r="H5" s="37" t="s">
        <v>96</v>
      </c>
      <c r="I5" s="14"/>
      <c r="J5" s="10"/>
      <c r="K5" s="33" t="s">
        <v>55</v>
      </c>
    </row>
    <row r="6" spans="1:11" ht="12.75">
      <c r="A6" s="41" t="s">
        <v>3</v>
      </c>
      <c r="B6" s="93" t="s">
        <v>61</v>
      </c>
      <c r="C6" s="43" t="s">
        <v>0</v>
      </c>
      <c r="D6" s="43" t="s">
        <v>107</v>
      </c>
      <c r="E6" s="41" t="s">
        <v>127</v>
      </c>
      <c r="F6" s="77" t="s">
        <v>108</v>
      </c>
      <c r="G6" s="40" t="s">
        <v>108</v>
      </c>
      <c r="H6" s="37" t="s">
        <v>111</v>
      </c>
      <c r="I6" s="14"/>
      <c r="J6" s="10"/>
      <c r="K6" s="33" t="s">
        <v>56</v>
      </c>
    </row>
    <row r="7" spans="1:11" ht="13.5" thickBot="1">
      <c r="A7" s="44"/>
      <c r="B7" s="95"/>
      <c r="C7" s="52" t="s">
        <v>38</v>
      </c>
      <c r="D7" s="52" t="s">
        <v>38</v>
      </c>
      <c r="E7" s="52" t="s">
        <v>38</v>
      </c>
      <c r="F7" s="49" t="s">
        <v>38</v>
      </c>
      <c r="G7" s="39" t="s">
        <v>38</v>
      </c>
      <c r="H7" s="35" t="s">
        <v>38</v>
      </c>
      <c r="I7" s="20" t="s">
        <v>38</v>
      </c>
      <c r="J7" s="20" t="s">
        <v>38</v>
      </c>
      <c r="K7" s="20" t="s">
        <v>38</v>
      </c>
    </row>
    <row r="8" spans="1:11" ht="12.75">
      <c r="A8" s="16" t="s">
        <v>28</v>
      </c>
      <c r="B8" s="96" t="s">
        <v>182</v>
      </c>
      <c r="C8" s="17"/>
      <c r="D8" s="17"/>
      <c r="E8" s="53"/>
      <c r="F8" s="17"/>
      <c r="G8" s="17"/>
      <c r="H8" s="17"/>
      <c r="I8" s="24">
        <f>6.61*1.18</f>
        <v>7.7998</v>
      </c>
      <c r="J8" s="24">
        <f>14.11*1.18</f>
        <v>16.6498</v>
      </c>
      <c r="K8" s="25">
        <f aca="true" t="shared" si="0" ref="K8:K39">I8+J8</f>
        <v>24.4496</v>
      </c>
    </row>
    <row r="9" spans="1:11" ht="12.75">
      <c r="A9" s="8"/>
      <c r="B9" s="104" t="s">
        <v>183</v>
      </c>
      <c r="C9" s="17">
        <v>7.98</v>
      </c>
      <c r="D9" s="17">
        <v>21.86</v>
      </c>
      <c r="E9" s="53">
        <f>C9+D9</f>
        <v>29.84</v>
      </c>
      <c r="F9" s="17"/>
      <c r="G9" s="17"/>
      <c r="H9" s="17"/>
      <c r="I9" s="24"/>
      <c r="J9" s="24"/>
      <c r="K9" s="25"/>
    </row>
    <row r="10" spans="1:11" ht="12.75">
      <c r="A10" s="16"/>
      <c r="B10" s="96" t="s">
        <v>184</v>
      </c>
      <c r="C10" s="17">
        <v>7.98</v>
      </c>
      <c r="D10" s="17"/>
      <c r="E10" s="53">
        <f>C10+D10</f>
        <v>7.98</v>
      </c>
      <c r="F10" s="17"/>
      <c r="G10" s="17"/>
      <c r="H10" s="17"/>
      <c r="I10" s="24"/>
      <c r="J10" s="24"/>
      <c r="K10" s="25"/>
    </row>
    <row r="11" spans="1:11" ht="12.75">
      <c r="A11" s="16"/>
      <c r="B11" s="96" t="s">
        <v>185</v>
      </c>
      <c r="C11" s="17">
        <v>7.85</v>
      </c>
      <c r="D11" s="17">
        <v>21.5</v>
      </c>
      <c r="E11" s="53">
        <f>C11+D11</f>
        <v>29.35</v>
      </c>
      <c r="F11" s="17"/>
      <c r="G11" s="17"/>
      <c r="H11" s="17"/>
      <c r="I11" s="24"/>
      <c r="J11" s="24"/>
      <c r="K11" s="25"/>
    </row>
    <row r="12" spans="1:11" ht="12.75">
      <c r="A12" s="16" t="s">
        <v>193</v>
      </c>
      <c r="B12" s="96" t="s">
        <v>194</v>
      </c>
      <c r="C12" s="17">
        <v>14.64</v>
      </c>
      <c r="D12" s="17">
        <v>14.64</v>
      </c>
      <c r="E12" s="53">
        <f>C12+D12</f>
        <v>29.28</v>
      </c>
      <c r="F12" s="17"/>
      <c r="G12" s="17"/>
      <c r="H12" s="17"/>
      <c r="I12" s="24"/>
      <c r="J12" s="24"/>
      <c r="K12" s="25"/>
    </row>
    <row r="13" spans="1:11" ht="12.75">
      <c r="A13" s="3" t="s">
        <v>172</v>
      </c>
      <c r="B13" s="97" t="s">
        <v>49</v>
      </c>
      <c r="C13" s="18">
        <v>15.48</v>
      </c>
      <c r="D13" s="18">
        <v>22.08</v>
      </c>
      <c r="E13" s="53">
        <f aca="true" t="shared" si="1" ref="E13:E78">C13+D13</f>
        <v>37.56</v>
      </c>
      <c r="F13" s="17"/>
      <c r="G13" s="17"/>
      <c r="H13" s="17"/>
      <c r="I13" s="5">
        <f>7.8*1.18</f>
        <v>9.203999999999999</v>
      </c>
      <c r="J13" s="5">
        <f>9.35*1.18</f>
        <v>11.033</v>
      </c>
      <c r="K13" s="21">
        <f t="shared" si="0"/>
        <v>20.237</v>
      </c>
    </row>
    <row r="14" spans="1:11" ht="12.75">
      <c r="A14" s="3" t="s">
        <v>42</v>
      </c>
      <c r="B14" s="97" t="s">
        <v>13</v>
      </c>
      <c r="C14" s="18">
        <v>15.46</v>
      </c>
      <c r="D14" s="18">
        <v>14.95</v>
      </c>
      <c r="E14" s="17">
        <f t="shared" si="1"/>
        <v>30.41</v>
      </c>
      <c r="F14" s="17">
        <f>15.46+1.34</f>
        <v>16.8</v>
      </c>
      <c r="G14" s="17">
        <f>14.95+1.42</f>
        <v>16.369999999999997</v>
      </c>
      <c r="H14" s="53">
        <f>SUM(F14:G14)</f>
        <v>33.17</v>
      </c>
      <c r="I14" s="5">
        <f>8.9*1.18</f>
        <v>10.502</v>
      </c>
      <c r="J14" s="5">
        <f>9.75*1.18</f>
        <v>11.504999999999999</v>
      </c>
      <c r="K14" s="21">
        <f t="shared" si="0"/>
        <v>22.006999999999998</v>
      </c>
    </row>
    <row r="15" spans="1:11" ht="12.75">
      <c r="A15" s="3" t="s">
        <v>29</v>
      </c>
      <c r="B15" s="98" t="s">
        <v>24</v>
      </c>
      <c r="C15" s="18">
        <v>13.32</v>
      </c>
      <c r="D15" s="18">
        <v>26.7</v>
      </c>
      <c r="E15" s="53">
        <f t="shared" si="1"/>
        <v>40.019999999999996</v>
      </c>
      <c r="F15" s="17"/>
      <c r="G15" s="17"/>
      <c r="H15" s="53"/>
      <c r="I15" s="5">
        <f>9.45*1.18</f>
        <v>11.150999999999998</v>
      </c>
      <c r="J15" s="5">
        <f>12.585*1.18</f>
        <v>14.8503</v>
      </c>
      <c r="K15" s="21">
        <f t="shared" si="0"/>
        <v>26.0013</v>
      </c>
    </row>
    <row r="16" spans="1:11" ht="12.75">
      <c r="A16" s="3" t="s">
        <v>63</v>
      </c>
      <c r="B16" s="99"/>
      <c r="C16" s="88">
        <v>6.88</v>
      </c>
      <c r="D16" s="18">
        <v>16.21</v>
      </c>
      <c r="E16" s="85">
        <f>C16+D16</f>
        <v>23.09</v>
      </c>
      <c r="F16" s="17">
        <f>6.88+0.04</f>
        <v>6.92</v>
      </c>
      <c r="G16" s="17">
        <v>16.21</v>
      </c>
      <c r="H16" s="53">
        <f>SUM(F16:G16)</f>
        <v>23.130000000000003</v>
      </c>
      <c r="I16" s="5"/>
      <c r="J16" s="5"/>
      <c r="K16" s="21"/>
    </row>
    <row r="17" spans="1:11" ht="12.75">
      <c r="A17" s="3" t="s">
        <v>41</v>
      </c>
      <c r="B17" s="97" t="s">
        <v>21</v>
      </c>
      <c r="C17" s="18">
        <v>12</v>
      </c>
      <c r="D17" s="18">
        <v>24</v>
      </c>
      <c r="E17" s="53">
        <f t="shared" si="1"/>
        <v>36</v>
      </c>
      <c r="F17" s="17"/>
      <c r="G17" s="17"/>
      <c r="H17" s="53"/>
      <c r="I17" s="5">
        <f>8*1.18</f>
        <v>9.44</v>
      </c>
      <c r="J17" s="3">
        <f>11.5*1.18</f>
        <v>13.569999999999999</v>
      </c>
      <c r="K17" s="21">
        <f t="shared" si="0"/>
        <v>23.009999999999998</v>
      </c>
    </row>
    <row r="18" spans="1:11" ht="12.75">
      <c r="A18" s="3" t="s">
        <v>30</v>
      </c>
      <c r="B18" s="97" t="s">
        <v>11</v>
      </c>
      <c r="C18" s="18">
        <v>10.37</v>
      </c>
      <c r="D18" s="47">
        <v>14.64</v>
      </c>
      <c r="E18" s="17">
        <f t="shared" si="1"/>
        <v>25.009999999999998</v>
      </c>
      <c r="F18" s="17">
        <f>10.37+0.7</f>
        <v>11.069999999999999</v>
      </c>
      <c r="G18" s="17">
        <f>14.64+0.41</f>
        <v>15.05</v>
      </c>
      <c r="H18" s="53">
        <f>SUM(F18:G18)</f>
        <v>26.119999999999997</v>
      </c>
      <c r="I18" s="5">
        <f>7.203*1.18</f>
        <v>8.49954</v>
      </c>
      <c r="J18" s="5">
        <f>10.17*1.18</f>
        <v>12.000599999999999</v>
      </c>
      <c r="K18" s="21">
        <f t="shared" si="0"/>
        <v>20.50014</v>
      </c>
    </row>
    <row r="19" spans="1:11" ht="12.75">
      <c r="A19" s="3" t="s">
        <v>142</v>
      </c>
      <c r="B19" s="97" t="s">
        <v>163</v>
      </c>
      <c r="C19" s="18">
        <v>15.76</v>
      </c>
      <c r="D19" s="18">
        <v>15.76</v>
      </c>
      <c r="E19" s="17">
        <f t="shared" si="1"/>
        <v>31.52</v>
      </c>
      <c r="F19" s="17">
        <f>15.76+0.53</f>
        <v>16.29</v>
      </c>
      <c r="G19" s="17">
        <f>15.76+0.89</f>
        <v>16.65</v>
      </c>
      <c r="H19" s="53">
        <f>SUM(F19:G19)</f>
        <v>32.94</v>
      </c>
      <c r="I19" s="5">
        <f>13.14*1.18</f>
        <v>15.5052</v>
      </c>
      <c r="J19" s="5">
        <f>13.14*1.18</f>
        <v>15.5052</v>
      </c>
      <c r="K19" s="21">
        <f t="shared" si="0"/>
        <v>31.0104</v>
      </c>
    </row>
    <row r="20" spans="1:11" ht="12.75">
      <c r="A20" s="3"/>
      <c r="B20" s="97" t="s">
        <v>73</v>
      </c>
      <c r="C20" s="18">
        <v>16.44</v>
      </c>
      <c r="D20" s="18">
        <v>14.4</v>
      </c>
      <c r="E20" s="53">
        <f t="shared" si="1"/>
        <v>30.840000000000003</v>
      </c>
      <c r="F20" s="17"/>
      <c r="G20" s="17"/>
      <c r="H20" s="53"/>
      <c r="I20" s="5"/>
      <c r="J20" s="5"/>
      <c r="K20" s="21"/>
    </row>
    <row r="21" spans="1:11" ht="12.75">
      <c r="A21" s="3"/>
      <c r="B21" s="97" t="s">
        <v>134</v>
      </c>
      <c r="C21" s="18">
        <v>6.2</v>
      </c>
      <c r="D21" s="18">
        <v>5.44</v>
      </c>
      <c r="E21" s="53">
        <f t="shared" si="1"/>
        <v>11.64</v>
      </c>
      <c r="F21" s="17"/>
      <c r="G21" s="17"/>
      <c r="H21" s="53"/>
      <c r="I21" s="5"/>
      <c r="J21" s="5"/>
      <c r="K21" s="21"/>
    </row>
    <row r="22" spans="1:11" ht="12.75">
      <c r="A22" s="3"/>
      <c r="B22" s="97" t="s">
        <v>135</v>
      </c>
      <c r="C22" s="18"/>
      <c r="D22" s="18">
        <v>12.71</v>
      </c>
      <c r="E22" s="53">
        <f t="shared" si="1"/>
        <v>12.71</v>
      </c>
      <c r="F22" s="17"/>
      <c r="G22" s="17"/>
      <c r="H22" s="53"/>
      <c r="I22" s="5"/>
      <c r="J22" s="5"/>
      <c r="K22" s="21"/>
    </row>
    <row r="23" spans="1:11" ht="12.75">
      <c r="A23" s="3" t="s">
        <v>53</v>
      </c>
      <c r="B23" s="97" t="s">
        <v>52</v>
      </c>
      <c r="C23" s="18">
        <v>18</v>
      </c>
      <c r="D23" s="18">
        <v>31.5</v>
      </c>
      <c r="E23" s="53">
        <f t="shared" si="1"/>
        <v>49.5</v>
      </c>
      <c r="F23" s="17"/>
      <c r="G23" s="17"/>
      <c r="H23" s="53"/>
      <c r="I23" s="5">
        <f>9.32*1.18</f>
        <v>10.9976</v>
      </c>
      <c r="J23" s="5">
        <f>12.71*1.18</f>
        <v>14.9978</v>
      </c>
      <c r="K23" s="21">
        <f t="shared" si="0"/>
        <v>25.9954</v>
      </c>
    </row>
    <row r="24" spans="1:11" ht="12.75">
      <c r="A24" s="3" t="s">
        <v>164</v>
      </c>
      <c r="B24" s="97" t="s">
        <v>165</v>
      </c>
      <c r="C24" s="18">
        <v>17.4</v>
      </c>
      <c r="D24" s="18">
        <v>25.8</v>
      </c>
      <c r="E24" s="53">
        <f t="shared" si="1"/>
        <v>43.2</v>
      </c>
      <c r="F24" s="17">
        <f>17.4+0.79</f>
        <v>18.189999999999998</v>
      </c>
      <c r="G24" s="17">
        <f>25.8+1.32</f>
        <v>27.12</v>
      </c>
      <c r="H24" s="53">
        <f>SUM(F24:G24)</f>
        <v>45.31</v>
      </c>
      <c r="I24" s="5"/>
      <c r="J24" s="5"/>
      <c r="K24" s="21"/>
    </row>
    <row r="25" spans="1:11" ht="12.75">
      <c r="A25" s="3" t="s">
        <v>31</v>
      </c>
      <c r="B25" s="97" t="s">
        <v>8</v>
      </c>
      <c r="C25" s="18"/>
      <c r="D25" s="18"/>
      <c r="E25" s="17"/>
      <c r="F25" s="17"/>
      <c r="G25" s="17"/>
      <c r="H25" s="53"/>
      <c r="I25" s="5">
        <f>11.02*1.18</f>
        <v>13.003599999999999</v>
      </c>
      <c r="J25" s="5">
        <f>14.41*1.18</f>
        <v>17.0038</v>
      </c>
      <c r="K25" s="21">
        <f t="shared" si="0"/>
        <v>30.007399999999997</v>
      </c>
    </row>
    <row r="26" spans="1:11" ht="12.75">
      <c r="A26" s="3"/>
      <c r="B26" s="97" t="s">
        <v>170</v>
      </c>
      <c r="C26" s="18">
        <v>15.25</v>
      </c>
      <c r="D26" s="18">
        <v>21.35</v>
      </c>
      <c r="E26" s="17">
        <f>SUM(C26:D26)</f>
        <v>36.6</v>
      </c>
      <c r="F26" s="17">
        <f>15.25+0.71</f>
        <v>15.96</v>
      </c>
      <c r="G26" s="17">
        <f>21.35+0.32</f>
        <v>21.67</v>
      </c>
      <c r="H26" s="53">
        <f>SUM(F26:G26)</f>
        <v>37.63</v>
      </c>
      <c r="I26" s="5"/>
      <c r="J26" s="5"/>
      <c r="K26" s="21"/>
    </row>
    <row r="27" spans="1:11" ht="12.75">
      <c r="A27" s="3"/>
      <c r="B27" s="97" t="s">
        <v>22</v>
      </c>
      <c r="C27" s="18">
        <v>19.3</v>
      </c>
      <c r="D27" s="18">
        <v>26.45</v>
      </c>
      <c r="E27" s="17">
        <f>SUM(C27:D27)</f>
        <v>45.75</v>
      </c>
      <c r="F27" s="17">
        <f>19.3+0.71</f>
        <v>20.01</v>
      </c>
      <c r="G27" s="17">
        <f>26.45+0.32</f>
        <v>26.77</v>
      </c>
      <c r="H27" s="53">
        <f>SUM(F27:G27)</f>
        <v>46.78</v>
      </c>
      <c r="I27" s="5"/>
      <c r="J27" s="5"/>
      <c r="K27" s="21"/>
    </row>
    <row r="28" spans="1:11" ht="12.75">
      <c r="A28" s="3"/>
      <c r="B28" s="97" t="s">
        <v>169</v>
      </c>
      <c r="C28" s="18">
        <v>11.7</v>
      </c>
      <c r="D28" s="18">
        <v>21.71</v>
      </c>
      <c r="E28" s="17">
        <f>SUM(C28:D28)</f>
        <v>33.41</v>
      </c>
      <c r="F28" s="17">
        <f>11.7+0.71</f>
        <v>12.41</v>
      </c>
      <c r="G28" s="17">
        <f>21.71+0.32</f>
        <v>22.03</v>
      </c>
      <c r="H28" s="53">
        <f>SUM(F28:G28)</f>
        <v>34.44</v>
      </c>
      <c r="I28" s="5"/>
      <c r="J28" s="5"/>
      <c r="K28" s="21"/>
    </row>
    <row r="29" spans="1:11" ht="12.75">
      <c r="A29" s="3" t="s">
        <v>143</v>
      </c>
      <c r="B29" s="97" t="s">
        <v>154</v>
      </c>
      <c r="C29" s="18"/>
      <c r="D29" s="18"/>
      <c r="E29" s="17">
        <f t="shared" si="1"/>
        <v>0</v>
      </c>
      <c r="F29" s="17"/>
      <c r="G29" s="17"/>
      <c r="H29" s="53"/>
      <c r="I29" s="5"/>
      <c r="J29" s="5"/>
      <c r="K29" s="21"/>
    </row>
    <row r="30" spans="1:11" ht="12.75">
      <c r="A30" s="3"/>
      <c r="B30" s="97" t="s">
        <v>80</v>
      </c>
      <c r="C30" s="47">
        <v>16.27</v>
      </c>
      <c r="D30" s="47">
        <v>21.36</v>
      </c>
      <c r="E30" s="64">
        <f t="shared" si="1"/>
        <v>37.629999999999995</v>
      </c>
      <c r="F30" s="64">
        <f>16.27+3.01</f>
        <v>19.28</v>
      </c>
      <c r="G30" s="64">
        <f>21.36+3.56</f>
        <v>24.919999999999998</v>
      </c>
      <c r="H30" s="65">
        <f>SUM(F30:G30)</f>
        <v>44.2</v>
      </c>
      <c r="I30" s="5">
        <f>13.56*1.18</f>
        <v>16.000799999999998</v>
      </c>
      <c r="J30" s="5">
        <f>17.8*1.18</f>
        <v>21.004</v>
      </c>
      <c r="K30" s="21">
        <f t="shared" si="0"/>
        <v>37.0048</v>
      </c>
    </row>
    <row r="31" spans="1:11" ht="12.75">
      <c r="A31" s="3"/>
      <c r="B31" s="97" t="s">
        <v>81</v>
      </c>
      <c r="C31" s="47">
        <v>13.73</v>
      </c>
      <c r="D31" s="18">
        <v>17.8</v>
      </c>
      <c r="E31" s="64">
        <f t="shared" si="1"/>
        <v>31.53</v>
      </c>
      <c r="F31" s="64">
        <f>13.73+3.01</f>
        <v>16.740000000000002</v>
      </c>
      <c r="G31" s="64">
        <f>17.8+3.56</f>
        <v>21.36</v>
      </c>
      <c r="H31" s="65">
        <f>SUM(F31:G31)</f>
        <v>38.1</v>
      </c>
      <c r="I31" s="5">
        <f>11.44*1.18</f>
        <v>13.499199999999998</v>
      </c>
      <c r="J31" s="5">
        <f>14.83*1.18</f>
        <v>17.499399999999998</v>
      </c>
      <c r="K31" s="21">
        <f t="shared" si="0"/>
        <v>30.998599999999996</v>
      </c>
    </row>
    <row r="32" spans="1:11" ht="12.75">
      <c r="A32" s="3"/>
      <c r="B32" s="97" t="s">
        <v>82</v>
      </c>
      <c r="C32" s="47">
        <v>11.18</v>
      </c>
      <c r="D32" s="47">
        <v>15.25</v>
      </c>
      <c r="E32" s="64">
        <f t="shared" si="1"/>
        <v>26.43</v>
      </c>
      <c r="F32" s="64">
        <f>11.18+3.01</f>
        <v>14.19</v>
      </c>
      <c r="G32" s="64">
        <f>15.25+3.56</f>
        <v>18.81</v>
      </c>
      <c r="H32" s="65">
        <f>SUM(F32:G32)</f>
        <v>33</v>
      </c>
      <c r="I32" s="5">
        <f>9.32*1.18</f>
        <v>10.9976</v>
      </c>
      <c r="J32" s="5">
        <f>12.71*1.18</f>
        <v>14.9978</v>
      </c>
      <c r="K32" s="21">
        <f t="shared" si="0"/>
        <v>25.9954</v>
      </c>
    </row>
    <row r="33" spans="1:11" ht="12.75">
      <c r="A33" s="3"/>
      <c r="B33" s="97" t="s">
        <v>131</v>
      </c>
      <c r="C33" s="47">
        <v>16.27</v>
      </c>
      <c r="D33" s="47">
        <v>21.36</v>
      </c>
      <c r="E33" s="91">
        <f>SUM(C33:D33)</f>
        <v>37.629999999999995</v>
      </c>
      <c r="F33" s="64">
        <v>19.28</v>
      </c>
      <c r="G33" s="64">
        <v>24.92</v>
      </c>
      <c r="H33" s="65">
        <f>SUM(F33:G33)</f>
        <v>44.2</v>
      </c>
      <c r="I33" s="5"/>
      <c r="J33" s="5"/>
      <c r="K33" s="21"/>
    </row>
    <row r="34" spans="1:11" ht="12.75">
      <c r="A34" s="3"/>
      <c r="B34" s="97" t="s">
        <v>132</v>
      </c>
      <c r="C34" s="47">
        <v>16.27</v>
      </c>
      <c r="D34" s="47">
        <v>21.36</v>
      </c>
      <c r="E34" s="64">
        <f>SUM(C34:D34)</f>
        <v>37.629999999999995</v>
      </c>
      <c r="F34" s="64">
        <f>16.27+3.01</f>
        <v>19.28</v>
      </c>
      <c r="G34" s="64">
        <f>21.36+3.56</f>
        <v>24.919999999999998</v>
      </c>
      <c r="H34" s="65">
        <f>SUM(F34:G34)</f>
        <v>44.2</v>
      </c>
      <c r="I34" s="5"/>
      <c r="J34" s="5"/>
      <c r="K34" s="21"/>
    </row>
    <row r="35" spans="1:11" ht="12.75">
      <c r="A35" s="3" t="s">
        <v>138</v>
      </c>
      <c r="B35" s="97" t="s">
        <v>141</v>
      </c>
      <c r="C35" s="18">
        <v>10.5</v>
      </c>
      <c r="D35" s="18">
        <v>14.5</v>
      </c>
      <c r="E35" s="53">
        <f>C35+D35</f>
        <v>25</v>
      </c>
      <c r="F35" s="64"/>
      <c r="G35" s="64"/>
      <c r="H35" s="65"/>
      <c r="I35" s="5"/>
      <c r="J35" s="5"/>
      <c r="K35" s="21"/>
    </row>
    <row r="36" spans="1:11" ht="12.75">
      <c r="A36" s="3" t="s">
        <v>180</v>
      </c>
      <c r="B36" s="97" t="s">
        <v>18</v>
      </c>
      <c r="C36" s="18">
        <v>12</v>
      </c>
      <c r="D36" s="18">
        <v>17.4</v>
      </c>
      <c r="E36" s="53">
        <f t="shared" si="1"/>
        <v>29.4</v>
      </c>
      <c r="F36" s="17"/>
      <c r="G36" s="17"/>
      <c r="H36" s="53"/>
      <c r="I36" s="5">
        <f>9.576*1.18</f>
        <v>11.29968</v>
      </c>
      <c r="J36" s="5">
        <f>13.22*1.18</f>
        <v>15.5996</v>
      </c>
      <c r="K36" s="21">
        <f t="shared" si="0"/>
        <v>26.89928</v>
      </c>
    </row>
    <row r="37" spans="1:11" ht="12.75">
      <c r="A37" s="3" t="s">
        <v>32</v>
      </c>
      <c r="B37" s="97" t="s">
        <v>10</v>
      </c>
      <c r="C37" s="18">
        <v>11.64</v>
      </c>
      <c r="D37" s="18">
        <v>31.8</v>
      </c>
      <c r="E37" s="17">
        <f t="shared" si="1"/>
        <v>43.44</v>
      </c>
      <c r="F37" s="17">
        <f>11.64+2.5</f>
        <v>14.14</v>
      </c>
      <c r="G37" s="17">
        <f>31.8+2.93</f>
        <v>34.730000000000004</v>
      </c>
      <c r="H37" s="53">
        <f>SUM(F37:G37)</f>
        <v>48.870000000000005</v>
      </c>
      <c r="I37" s="5">
        <f>7.2*1.18</f>
        <v>8.496</v>
      </c>
      <c r="J37" s="3">
        <f>25*1.18</f>
        <v>29.5</v>
      </c>
      <c r="K37" s="21">
        <f t="shared" si="0"/>
        <v>37.996</v>
      </c>
    </row>
    <row r="38" spans="1:11" ht="12.75">
      <c r="A38" s="3" t="s">
        <v>129</v>
      </c>
      <c r="B38" s="97" t="s">
        <v>25</v>
      </c>
      <c r="C38" s="18">
        <v>24</v>
      </c>
      <c r="D38" s="18">
        <v>24</v>
      </c>
      <c r="E38" s="53">
        <f t="shared" si="1"/>
        <v>48</v>
      </c>
      <c r="F38" s="17"/>
      <c r="G38" s="17"/>
      <c r="H38" s="53"/>
      <c r="I38" s="5">
        <f>15*1.18</f>
        <v>17.7</v>
      </c>
      <c r="J38" s="5">
        <f>15*1.18</f>
        <v>17.7</v>
      </c>
      <c r="K38" s="21">
        <f t="shared" si="0"/>
        <v>35.4</v>
      </c>
    </row>
    <row r="39" spans="1:11" ht="12.75">
      <c r="A39" s="3" t="s">
        <v>145</v>
      </c>
      <c r="B39" s="97" t="s">
        <v>67</v>
      </c>
      <c r="C39" s="18">
        <v>14.4</v>
      </c>
      <c r="D39" s="18">
        <v>18</v>
      </c>
      <c r="E39" s="53">
        <f t="shared" si="1"/>
        <v>32.4</v>
      </c>
      <c r="F39" s="17"/>
      <c r="G39" s="17"/>
      <c r="H39" s="53"/>
      <c r="I39" s="5">
        <f>10*1.18</f>
        <v>11.799999999999999</v>
      </c>
      <c r="J39" s="5">
        <f>25*1.18</f>
        <v>29.5</v>
      </c>
      <c r="K39" s="21">
        <f t="shared" si="0"/>
        <v>41.3</v>
      </c>
    </row>
    <row r="40" spans="1:11" ht="12.75">
      <c r="A40" s="3"/>
      <c r="B40" s="97" t="s">
        <v>62</v>
      </c>
      <c r="C40" s="47">
        <v>15.48</v>
      </c>
      <c r="D40" s="18">
        <v>20.16</v>
      </c>
      <c r="E40" s="53">
        <f t="shared" si="1"/>
        <v>35.64</v>
      </c>
      <c r="F40" s="17"/>
      <c r="G40" s="17"/>
      <c r="H40" s="53"/>
      <c r="I40" s="5">
        <f>5.85*1.18</f>
        <v>6.903</v>
      </c>
      <c r="J40" s="5">
        <f>6.9*1.18</f>
        <v>8.142</v>
      </c>
      <c r="K40" s="21">
        <f>SUM(I40:J40)</f>
        <v>15.044999999999998</v>
      </c>
    </row>
    <row r="41" spans="1:11" ht="12.75">
      <c r="A41" s="3"/>
      <c r="B41" s="97" t="s">
        <v>66</v>
      </c>
      <c r="C41" s="47">
        <v>14.24</v>
      </c>
      <c r="D41" s="18">
        <v>14.24</v>
      </c>
      <c r="E41" s="53">
        <f t="shared" si="1"/>
        <v>28.48</v>
      </c>
      <c r="F41" s="17"/>
      <c r="G41" s="17"/>
      <c r="H41" s="53"/>
      <c r="I41" s="5"/>
      <c r="J41" s="5"/>
      <c r="K41" s="21"/>
    </row>
    <row r="42" spans="1:11" ht="12.75">
      <c r="A42" s="3" t="s">
        <v>146</v>
      </c>
      <c r="B42" s="97" t="s">
        <v>5</v>
      </c>
      <c r="C42" s="18">
        <v>13.02</v>
      </c>
      <c r="D42" s="18">
        <v>18.91</v>
      </c>
      <c r="E42" s="53">
        <f t="shared" si="1"/>
        <v>31.93</v>
      </c>
      <c r="F42" s="17"/>
      <c r="G42" s="17"/>
      <c r="H42" s="53"/>
      <c r="I42" s="5"/>
      <c r="J42" s="5"/>
      <c r="K42" s="21"/>
    </row>
    <row r="43" spans="1:11" ht="12.75">
      <c r="A43" s="3"/>
      <c r="B43" s="97" t="s">
        <v>153</v>
      </c>
      <c r="C43" s="18">
        <v>10.16</v>
      </c>
      <c r="D43" s="18">
        <v>18.1</v>
      </c>
      <c r="E43" s="53">
        <f t="shared" si="1"/>
        <v>28.26</v>
      </c>
      <c r="F43" s="17"/>
      <c r="G43" s="17"/>
      <c r="H43" s="53"/>
      <c r="I43" s="5"/>
      <c r="J43" s="5"/>
      <c r="K43" s="21"/>
    </row>
    <row r="44" spans="1:11" ht="12.75">
      <c r="A44" s="3"/>
      <c r="B44" s="97" t="s">
        <v>168</v>
      </c>
      <c r="C44" s="18">
        <v>18</v>
      </c>
      <c r="D44" s="18">
        <v>26.4</v>
      </c>
      <c r="E44" s="53">
        <f t="shared" si="1"/>
        <v>44.4</v>
      </c>
      <c r="F44" s="17"/>
      <c r="G44" s="17"/>
      <c r="H44" s="53"/>
      <c r="I44" s="5"/>
      <c r="J44" s="5"/>
      <c r="K44" s="21"/>
    </row>
    <row r="45" spans="1:11" ht="12.75">
      <c r="A45" s="3" t="s">
        <v>147</v>
      </c>
      <c r="B45" s="97" t="s">
        <v>7</v>
      </c>
      <c r="C45" s="18">
        <v>14</v>
      </c>
      <c r="D45" s="18">
        <v>11.5</v>
      </c>
      <c r="E45" s="53">
        <f t="shared" si="1"/>
        <v>25.5</v>
      </c>
      <c r="F45" s="17"/>
      <c r="G45" s="17"/>
      <c r="H45" s="53"/>
      <c r="I45" s="5">
        <f>11.44*1.18</f>
        <v>13.499199999999998</v>
      </c>
      <c r="J45" s="5">
        <f>8.9*1.18</f>
        <v>10.502</v>
      </c>
      <c r="K45" s="21">
        <f>I45+J45</f>
        <v>24.001199999999997</v>
      </c>
    </row>
    <row r="46" spans="1:11" ht="12.75">
      <c r="A46" s="3"/>
      <c r="B46" s="97" t="s">
        <v>157</v>
      </c>
      <c r="C46" s="18">
        <v>14</v>
      </c>
      <c r="D46" s="18">
        <v>11.5</v>
      </c>
      <c r="E46" s="53">
        <f>SUM(C46:D46)</f>
        <v>25.5</v>
      </c>
      <c r="F46" s="17"/>
      <c r="G46" s="17"/>
      <c r="H46" s="53"/>
      <c r="I46" s="5"/>
      <c r="J46" s="5"/>
      <c r="K46" s="21"/>
    </row>
    <row r="47" spans="1:11" ht="12.75">
      <c r="A47" s="3"/>
      <c r="B47" s="97" t="s">
        <v>158</v>
      </c>
      <c r="C47" s="18">
        <v>14</v>
      </c>
      <c r="D47" s="18">
        <v>12.5</v>
      </c>
      <c r="E47" s="53">
        <f>SUM(C47:D47)</f>
        <v>26.5</v>
      </c>
      <c r="F47" s="17"/>
      <c r="G47" s="17"/>
      <c r="H47" s="53"/>
      <c r="I47" s="5"/>
      <c r="J47" s="5"/>
      <c r="K47" s="21"/>
    </row>
    <row r="48" spans="1:11" ht="12.75">
      <c r="A48" s="3"/>
      <c r="B48" s="97" t="s">
        <v>159</v>
      </c>
      <c r="C48" s="18">
        <v>14</v>
      </c>
      <c r="D48" s="18">
        <v>14</v>
      </c>
      <c r="E48" s="53">
        <f>SUM(C48:D48)</f>
        <v>28</v>
      </c>
      <c r="F48" s="17"/>
      <c r="G48" s="17"/>
      <c r="H48" s="53"/>
      <c r="I48" s="5"/>
      <c r="J48" s="5"/>
      <c r="K48" s="21"/>
    </row>
    <row r="49" spans="1:11" ht="12.75">
      <c r="A49" s="3"/>
      <c r="B49" s="97" t="s">
        <v>160</v>
      </c>
      <c r="C49" s="18">
        <v>14</v>
      </c>
      <c r="D49" s="18">
        <v>18</v>
      </c>
      <c r="E49" s="53">
        <f>SUM(C49:D49)</f>
        <v>32</v>
      </c>
      <c r="F49" s="17"/>
      <c r="G49" s="17"/>
      <c r="H49" s="53"/>
      <c r="I49" s="5"/>
      <c r="J49" s="5"/>
      <c r="K49" s="21"/>
    </row>
    <row r="50" spans="1:11" ht="12.75">
      <c r="A50" s="3"/>
      <c r="B50" s="97" t="s">
        <v>161</v>
      </c>
      <c r="C50" s="18">
        <v>14</v>
      </c>
      <c r="D50" s="18">
        <v>22</v>
      </c>
      <c r="E50" s="53">
        <f>SUM(C50:D50)</f>
        <v>36</v>
      </c>
      <c r="F50" s="17"/>
      <c r="G50" s="17"/>
      <c r="H50" s="53"/>
      <c r="I50" s="5"/>
      <c r="J50" s="5"/>
      <c r="K50" s="21"/>
    </row>
    <row r="51" spans="1:11" ht="12.75">
      <c r="A51" s="3"/>
      <c r="B51" s="97" t="s">
        <v>156</v>
      </c>
      <c r="C51" s="47"/>
      <c r="D51" s="47"/>
      <c r="E51" s="53"/>
      <c r="F51" s="17"/>
      <c r="G51" s="17"/>
      <c r="H51" s="53"/>
      <c r="I51" s="5"/>
      <c r="J51" s="5"/>
      <c r="K51" s="21"/>
    </row>
    <row r="52" spans="1:11" ht="12.75">
      <c r="A52" s="3"/>
      <c r="B52" s="97" t="s">
        <v>157</v>
      </c>
      <c r="C52" s="47">
        <v>11.7</v>
      </c>
      <c r="D52" s="18">
        <v>11.5</v>
      </c>
      <c r="E52" s="65">
        <f>SUM(C52:D52)</f>
        <v>23.2</v>
      </c>
      <c r="F52" s="17"/>
      <c r="G52" s="17"/>
      <c r="H52" s="53"/>
      <c r="I52" s="5"/>
      <c r="J52" s="5"/>
      <c r="K52" s="21"/>
    </row>
    <row r="53" spans="1:11" ht="12.75">
      <c r="A53" s="3"/>
      <c r="B53" s="97" t="s">
        <v>158</v>
      </c>
      <c r="C53" s="47">
        <v>11.7</v>
      </c>
      <c r="D53" s="18">
        <v>12.5</v>
      </c>
      <c r="E53" s="65">
        <f>SUM(C53:D53)</f>
        <v>24.2</v>
      </c>
      <c r="F53" s="17"/>
      <c r="G53" s="17"/>
      <c r="H53" s="53"/>
      <c r="I53" s="5"/>
      <c r="J53" s="5"/>
      <c r="K53" s="21"/>
    </row>
    <row r="54" spans="1:11" ht="12.75">
      <c r="A54" s="3"/>
      <c r="B54" s="97" t="s">
        <v>159</v>
      </c>
      <c r="C54" s="47">
        <v>11.7</v>
      </c>
      <c r="D54" s="18">
        <v>14</v>
      </c>
      <c r="E54" s="65">
        <f>SUM(C54:D54)</f>
        <v>25.7</v>
      </c>
      <c r="F54" s="17"/>
      <c r="G54" s="17"/>
      <c r="H54" s="53"/>
      <c r="I54" s="5"/>
      <c r="J54" s="5"/>
      <c r="K54" s="21"/>
    </row>
    <row r="55" spans="1:11" ht="12.75">
      <c r="A55" s="3"/>
      <c r="B55" s="97" t="s">
        <v>160</v>
      </c>
      <c r="C55" s="47">
        <v>11.7</v>
      </c>
      <c r="D55" s="18">
        <v>18</v>
      </c>
      <c r="E55" s="65">
        <f>SUM(C55:D55)</f>
        <v>29.7</v>
      </c>
      <c r="F55" s="17"/>
      <c r="G55" s="17"/>
      <c r="H55" s="53"/>
      <c r="I55" s="5"/>
      <c r="J55" s="5"/>
      <c r="K55" s="21"/>
    </row>
    <row r="56" spans="1:11" ht="12.75">
      <c r="A56" s="3"/>
      <c r="B56" s="97" t="s">
        <v>161</v>
      </c>
      <c r="C56" s="47">
        <v>11.7</v>
      </c>
      <c r="D56" s="18">
        <v>22</v>
      </c>
      <c r="E56" s="65">
        <f>SUM(C56:D56)</f>
        <v>33.7</v>
      </c>
      <c r="F56" s="17"/>
      <c r="G56" s="17"/>
      <c r="H56" s="53"/>
      <c r="I56" s="5"/>
      <c r="J56" s="5"/>
      <c r="K56" s="21"/>
    </row>
    <row r="57" spans="1:11" ht="12.75">
      <c r="A57" s="3" t="s">
        <v>148</v>
      </c>
      <c r="B57" s="97" t="s">
        <v>167</v>
      </c>
      <c r="C57" s="18">
        <v>13.3</v>
      </c>
      <c r="D57" s="18">
        <v>17.7</v>
      </c>
      <c r="E57" s="53">
        <f>D57+C57</f>
        <v>31</v>
      </c>
      <c r="F57" s="17"/>
      <c r="G57" s="17"/>
      <c r="H57" s="53"/>
      <c r="I57" s="5">
        <f>10.68*1.18</f>
        <v>12.6024</v>
      </c>
      <c r="J57" s="5">
        <f>12.2*1.18</f>
        <v>14.395999999999999</v>
      </c>
      <c r="K57" s="21">
        <f>I57+J57</f>
        <v>26.998399999999997</v>
      </c>
    </row>
    <row r="58" spans="1:11" ht="12.75">
      <c r="A58" s="3"/>
      <c r="B58" s="97" t="s">
        <v>166</v>
      </c>
      <c r="C58" s="18">
        <v>16</v>
      </c>
      <c r="D58" s="18">
        <v>15.5</v>
      </c>
      <c r="E58" s="103">
        <f>D58+C58</f>
        <v>31.5</v>
      </c>
      <c r="F58" s="18"/>
      <c r="G58" s="18"/>
      <c r="H58" s="103"/>
      <c r="I58" s="5"/>
      <c r="J58" s="5"/>
      <c r="K58" s="21"/>
    </row>
    <row r="59" spans="1:11" ht="12.75">
      <c r="A59" s="3"/>
      <c r="B59" s="97" t="s">
        <v>136</v>
      </c>
      <c r="C59" s="18">
        <v>9.6</v>
      </c>
      <c r="D59" s="18">
        <v>14.4</v>
      </c>
      <c r="E59" s="103">
        <f>D59+C59</f>
        <v>24</v>
      </c>
      <c r="F59" s="18"/>
      <c r="G59" s="18"/>
      <c r="H59" s="103"/>
      <c r="I59" s="5"/>
      <c r="J59" s="5"/>
      <c r="K59" s="21"/>
    </row>
    <row r="60" spans="1:11" ht="12.75">
      <c r="A60" s="7"/>
      <c r="B60" s="102"/>
      <c r="C60" s="33"/>
      <c r="D60" s="33"/>
      <c r="E60" s="40"/>
      <c r="F60" s="33"/>
      <c r="G60" s="33"/>
      <c r="H60" s="40"/>
      <c r="I60" s="101"/>
      <c r="J60" s="5"/>
      <c r="K60" s="21"/>
    </row>
    <row r="61" spans="1:11" ht="12.75">
      <c r="A61" s="7"/>
      <c r="B61" s="102"/>
      <c r="C61" s="33"/>
      <c r="D61" s="33"/>
      <c r="E61" s="40"/>
      <c r="F61" s="33"/>
      <c r="G61" s="33"/>
      <c r="H61" s="40"/>
      <c r="I61" s="101"/>
      <c r="J61" s="5"/>
      <c r="K61" s="21"/>
    </row>
    <row r="62" spans="1:11" ht="13.5" thickBot="1">
      <c r="A62" s="7"/>
      <c r="B62" s="102"/>
      <c r="C62" s="33"/>
      <c r="D62" s="33"/>
      <c r="E62" s="40"/>
      <c r="F62" s="33"/>
      <c r="G62" s="33"/>
      <c r="H62" s="40"/>
      <c r="I62" s="5"/>
      <c r="J62" s="5"/>
      <c r="K62" s="21"/>
    </row>
    <row r="63" spans="1:11" ht="12.75">
      <c r="A63" s="54"/>
      <c r="B63" s="94"/>
      <c r="C63" s="110" t="s">
        <v>124</v>
      </c>
      <c r="D63" s="111"/>
      <c r="E63" s="112"/>
      <c r="F63" s="72" t="s">
        <v>125</v>
      </c>
      <c r="G63" s="50" t="s">
        <v>128</v>
      </c>
      <c r="H63" s="36" t="s">
        <v>105</v>
      </c>
      <c r="I63" s="5"/>
      <c r="J63" s="5"/>
      <c r="K63" s="21"/>
    </row>
    <row r="64" spans="1:11" ht="12.75">
      <c r="A64" s="43"/>
      <c r="B64" s="93" t="s">
        <v>60</v>
      </c>
      <c r="C64" s="78"/>
      <c r="D64" s="76"/>
      <c r="E64" s="79"/>
      <c r="F64" s="73" t="s">
        <v>106</v>
      </c>
      <c r="G64" s="33" t="s">
        <v>106</v>
      </c>
      <c r="H64" s="37" t="s">
        <v>96</v>
      </c>
      <c r="I64" s="5"/>
      <c r="J64" s="5"/>
      <c r="K64" s="21"/>
    </row>
    <row r="65" spans="1:11" ht="12.75">
      <c r="A65" s="41" t="s">
        <v>3</v>
      </c>
      <c r="B65" s="93" t="s">
        <v>61</v>
      </c>
      <c r="C65" s="43" t="s">
        <v>0</v>
      </c>
      <c r="D65" s="43" t="s">
        <v>107</v>
      </c>
      <c r="E65" s="41" t="s">
        <v>127</v>
      </c>
      <c r="F65" s="77" t="s">
        <v>108</v>
      </c>
      <c r="G65" s="40" t="s">
        <v>108</v>
      </c>
      <c r="H65" s="37" t="s">
        <v>111</v>
      </c>
      <c r="I65" s="5"/>
      <c r="J65" s="5"/>
      <c r="K65" s="21"/>
    </row>
    <row r="66" spans="1:11" ht="13.5" thickBot="1">
      <c r="A66" s="44"/>
      <c r="B66" s="95"/>
      <c r="C66" s="52" t="s">
        <v>38</v>
      </c>
      <c r="D66" s="52" t="s">
        <v>38</v>
      </c>
      <c r="E66" s="52" t="s">
        <v>38</v>
      </c>
      <c r="F66" s="49" t="s">
        <v>38</v>
      </c>
      <c r="G66" s="39" t="s">
        <v>38</v>
      </c>
      <c r="H66" s="35" t="s">
        <v>38</v>
      </c>
      <c r="I66" s="5"/>
      <c r="J66" s="5"/>
      <c r="K66" s="21"/>
    </row>
    <row r="67" spans="1:11" ht="12.75">
      <c r="A67" s="3" t="s">
        <v>47</v>
      </c>
      <c r="B67" s="97" t="s">
        <v>45</v>
      </c>
      <c r="C67" s="18">
        <v>12.15</v>
      </c>
      <c r="D67" s="18">
        <v>12.48</v>
      </c>
      <c r="E67" s="17">
        <f t="shared" si="1"/>
        <v>24.630000000000003</v>
      </c>
      <c r="F67" s="17">
        <f>12.15+1.33</f>
        <v>13.48</v>
      </c>
      <c r="G67" s="17">
        <f>12.48+0.61</f>
        <v>13.09</v>
      </c>
      <c r="H67" s="53">
        <f>SUM(F67:G67)</f>
        <v>26.57</v>
      </c>
      <c r="I67" s="5">
        <f>10.3*1.18</f>
        <v>12.154</v>
      </c>
      <c r="J67" s="5">
        <f>10.58*1.18</f>
        <v>12.484399999999999</v>
      </c>
      <c r="K67" s="21">
        <f>I67+J67</f>
        <v>24.638399999999997</v>
      </c>
    </row>
    <row r="68" spans="1:11" ht="12.75">
      <c r="A68" s="3" t="s">
        <v>44</v>
      </c>
      <c r="B68" s="97" t="s">
        <v>20</v>
      </c>
      <c r="C68" s="18">
        <v>31.68</v>
      </c>
      <c r="D68" s="18">
        <v>47.52</v>
      </c>
      <c r="E68" s="53">
        <f t="shared" si="1"/>
        <v>79.2</v>
      </c>
      <c r="F68" s="17"/>
      <c r="G68" s="17"/>
      <c r="H68" s="53"/>
      <c r="I68" s="5">
        <f>18.5*1.18</f>
        <v>21.83</v>
      </c>
      <c r="J68" s="3">
        <f>26*1.18</f>
        <v>30.68</v>
      </c>
      <c r="K68" s="21">
        <f>I68+J68</f>
        <v>52.51</v>
      </c>
    </row>
    <row r="69" spans="1:11" ht="12.75">
      <c r="A69" s="3" t="s">
        <v>50</v>
      </c>
      <c r="B69" s="97" t="s">
        <v>27</v>
      </c>
      <c r="C69" s="18">
        <v>43.62</v>
      </c>
      <c r="D69" s="18">
        <v>31.87</v>
      </c>
      <c r="E69" s="17">
        <f t="shared" si="1"/>
        <v>75.49</v>
      </c>
      <c r="F69" s="17">
        <v>43.62</v>
      </c>
      <c r="G69" s="17">
        <v>31.87</v>
      </c>
      <c r="H69" s="53">
        <f>SUM(F69:G69)</f>
        <v>75.49</v>
      </c>
      <c r="I69" s="5">
        <f>26.27*1.18</f>
        <v>30.998599999999996</v>
      </c>
      <c r="J69" s="5">
        <f>19.2*1.18</f>
        <v>22.656</v>
      </c>
      <c r="K69" s="21">
        <f>I69+J69</f>
        <v>53.654599999999995</v>
      </c>
    </row>
    <row r="70" spans="1:11" ht="12.75">
      <c r="A70" s="3" t="s">
        <v>33</v>
      </c>
      <c r="B70" s="97" t="s">
        <v>15</v>
      </c>
      <c r="C70" s="18">
        <v>19.7</v>
      </c>
      <c r="D70" s="18">
        <v>24.85</v>
      </c>
      <c r="E70" s="103">
        <f t="shared" si="1"/>
        <v>44.55</v>
      </c>
      <c r="F70" s="18"/>
      <c r="G70" s="18"/>
      <c r="H70" s="103"/>
      <c r="I70" s="5">
        <f>11.02*1.18</f>
        <v>13.003599999999999</v>
      </c>
      <c r="J70" s="5">
        <f>12.63*1.18</f>
        <v>14.9034</v>
      </c>
      <c r="K70" s="21">
        <f>I70+J70</f>
        <v>27.906999999999996</v>
      </c>
    </row>
    <row r="71" spans="1:11" ht="12.75">
      <c r="A71" s="3" t="s">
        <v>34</v>
      </c>
      <c r="B71" s="97" t="s">
        <v>4</v>
      </c>
      <c r="C71" s="18">
        <v>10.98</v>
      </c>
      <c r="D71" s="18">
        <v>13.43</v>
      </c>
      <c r="E71" s="53">
        <f t="shared" si="1"/>
        <v>24.41</v>
      </c>
      <c r="F71" s="17"/>
      <c r="G71" s="17"/>
      <c r="H71" s="53"/>
      <c r="I71" s="5">
        <f>9.15*1.18</f>
        <v>10.797</v>
      </c>
      <c r="J71" s="5">
        <f>11.19*1.18</f>
        <v>13.204199999999998</v>
      </c>
      <c r="K71" s="21">
        <f>I71+J71</f>
        <v>24.001199999999997</v>
      </c>
    </row>
    <row r="72" spans="1:11" ht="12.75">
      <c r="A72" s="3" t="s">
        <v>122</v>
      </c>
      <c r="B72" s="97" t="s">
        <v>119</v>
      </c>
      <c r="C72" s="18">
        <v>13.22</v>
      </c>
      <c r="D72" s="18">
        <v>25.43</v>
      </c>
      <c r="E72" s="53">
        <f t="shared" si="1"/>
        <v>38.65</v>
      </c>
      <c r="F72" s="17"/>
      <c r="G72" s="17"/>
      <c r="H72" s="53"/>
      <c r="I72" s="5"/>
      <c r="J72" s="5"/>
      <c r="K72" s="21"/>
    </row>
    <row r="73" spans="1:11" ht="12.75">
      <c r="A73" s="3" t="s">
        <v>35</v>
      </c>
      <c r="B73" s="97" t="s">
        <v>14</v>
      </c>
      <c r="C73" s="18">
        <v>13.7</v>
      </c>
      <c r="D73" s="47">
        <v>23.12</v>
      </c>
      <c r="E73" s="65">
        <f t="shared" si="1"/>
        <v>36.82</v>
      </c>
      <c r="F73" s="64"/>
      <c r="G73" s="64"/>
      <c r="H73" s="65"/>
      <c r="I73" s="5"/>
      <c r="J73" s="5"/>
      <c r="K73" s="21"/>
    </row>
    <row r="74" spans="1:11" ht="12.75">
      <c r="A74" s="3"/>
      <c r="B74" s="97" t="s">
        <v>150</v>
      </c>
      <c r="C74" s="18">
        <v>17.04</v>
      </c>
      <c r="D74" s="47">
        <v>22.68</v>
      </c>
      <c r="E74" s="65">
        <f t="shared" si="1"/>
        <v>39.72</v>
      </c>
      <c r="F74" s="64"/>
      <c r="G74" s="64"/>
      <c r="H74" s="65"/>
      <c r="I74" s="5"/>
      <c r="J74" s="5"/>
      <c r="K74" s="21"/>
    </row>
    <row r="75" spans="1:11" ht="12.75">
      <c r="A75" s="3"/>
      <c r="B75" s="97" t="s">
        <v>151</v>
      </c>
      <c r="C75" s="18">
        <v>22.68</v>
      </c>
      <c r="D75" s="47">
        <v>26.1</v>
      </c>
      <c r="E75" s="65">
        <f t="shared" si="1"/>
        <v>48.78</v>
      </c>
      <c r="F75" s="64"/>
      <c r="G75" s="64"/>
      <c r="H75" s="65"/>
      <c r="I75" s="5"/>
      <c r="J75" s="5"/>
      <c r="K75" s="21"/>
    </row>
    <row r="76" spans="1:11" ht="12.75">
      <c r="A76" s="3" t="s">
        <v>48</v>
      </c>
      <c r="B76" s="97" t="s">
        <v>46</v>
      </c>
      <c r="C76" s="18">
        <v>16.5</v>
      </c>
      <c r="D76" s="18">
        <v>21.8</v>
      </c>
      <c r="E76" s="53">
        <f t="shared" si="1"/>
        <v>38.3</v>
      </c>
      <c r="F76" s="17"/>
      <c r="G76" s="17"/>
      <c r="H76" s="53"/>
      <c r="I76" s="5">
        <f>11.44*1.18</f>
        <v>13.499199999999998</v>
      </c>
      <c r="J76" s="5">
        <f>15.68*1.18</f>
        <v>18.502399999999998</v>
      </c>
      <c r="K76" s="21">
        <f>I76+J76</f>
        <v>32.001599999999996</v>
      </c>
    </row>
    <row r="77" spans="1:11" ht="12.75">
      <c r="A77" s="3" t="s">
        <v>36</v>
      </c>
      <c r="B77" s="97" t="s">
        <v>6</v>
      </c>
      <c r="C77" s="18">
        <v>13.2</v>
      </c>
      <c r="D77" s="18">
        <v>16.8</v>
      </c>
      <c r="E77" s="53">
        <f t="shared" si="1"/>
        <v>30</v>
      </c>
      <c r="F77" s="17"/>
      <c r="G77" s="17"/>
      <c r="H77" s="53"/>
      <c r="I77" s="5">
        <f>9*1.18</f>
        <v>10.62</v>
      </c>
      <c r="J77" s="5">
        <f>12*1.18</f>
        <v>14.16</v>
      </c>
      <c r="K77" s="21">
        <f>I77+J77</f>
        <v>24.78</v>
      </c>
    </row>
    <row r="78" spans="1:13" ht="12.75">
      <c r="A78" s="3" t="s">
        <v>37</v>
      </c>
      <c r="B78" s="97" t="s">
        <v>23</v>
      </c>
      <c r="C78" s="18">
        <v>14.52</v>
      </c>
      <c r="D78" s="18">
        <v>17.88</v>
      </c>
      <c r="E78" s="53">
        <f t="shared" si="1"/>
        <v>32.4</v>
      </c>
      <c r="F78" s="17"/>
      <c r="G78" s="17"/>
      <c r="H78" s="53"/>
      <c r="I78" s="5">
        <f>10*1.18</f>
        <v>11.799999999999999</v>
      </c>
      <c r="J78" s="3">
        <f>13*1.18</f>
        <v>15.34</v>
      </c>
      <c r="K78" s="21">
        <f>I78+J78</f>
        <v>27.14</v>
      </c>
      <c r="M78" t="s">
        <v>109</v>
      </c>
    </row>
    <row r="79" spans="1:15" ht="12.75">
      <c r="A79" s="8"/>
      <c r="I79" s="1"/>
      <c r="J79" s="1"/>
      <c r="K79" s="1"/>
      <c r="O79" t="s">
        <v>110</v>
      </c>
    </row>
    <row r="80" spans="1:8" ht="12.75">
      <c r="A80" s="8"/>
      <c r="C80" s="70"/>
      <c r="D80" s="70"/>
      <c r="E80" s="70"/>
      <c r="F80" s="70"/>
      <c r="G80" s="70"/>
      <c r="H80" s="71"/>
    </row>
    <row r="81" spans="1:8" ht="12.75">
      <c r="A81" s="8"/>
      <c r="C81" s="32"/>
      <c r="D81" s="32"/>
      <c r="E81" s="32"/>
      <c r="F81" s="32"/>
      <c r="G81" s="32"/>
      <c r="H81" s="63"/>
    </row>
    <row r="82" spans="1:8" ht="12.75">
      <c r="A82" s="8"/>
      <c r="E82" s="32"/>
      <c r="F82" s="32"/>
      <c r="G82" s="32"/>
      <c r="H82" s="32"/>
    </row>
    <row r="83" spans="1:5" ht="12.75">
      <c r="A83" s="8"/>
      <c r="E83" s="32"/>
    </row>
    <row r="84" spans="1:5" ht="12.75">
      <c r="A84" s="8"/>
      <c r="E84" s="32"/>
    </row>
    <row r="85" ht="12.75">
      <c r="E85" s="32"/>
    </row>
    <row r="86" ht="12.75">
      <c r="E86" s="32"/>
    </row>
    <row r="87" ht="12.75">
      <c r="E87" s="32"/>
    </row>
  </sheetData>
  <mergeCells count="4">
    <mergeCell ref="A2:K2"/>
    <mergeCell ref="A3:K3"/>
    <mergeCell ref="C4:E4"/>
    <mergeCell ref="C63:E63"/>
  </mergeCells>
  <printOptions/>
  <pageMargins left="0.7480314960629921" right="0.7480314960629921" top="0.5905511811023623" bottom="0.5905511811023623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86"/>
  <sheetViews>
    <sheetView workbookViewId="0" topLeftCell="A43">
      <selection activeCell="B56" sqref="B56:I56"/>
    </sheetView>
  </sheetViews>
  <sheetFormatPr defaultColWidth="9.140625" defaultRowHeight="12.75"/>
  <cols>
    <col min="1" max="1" width="1.421875" style="0" customWidth="1"/>
    <col min="2" max="2" width="21.8515625" style="0" customWidth="1"/>
    <col min="3" max="3" width="16.8515625" style="0" customWidth="1"/>
    <col min="4" max="4" width="6.57421875" style="0" customWidth="1"/>
    <col min="5" max="5" width="7.7109375" style="0" customWidth="1"/>
    <col min="6" max="6" width="8.28125" style="0" customWidth="1"/>
    <col min="10" max="10" width="7.7109375" style="0" hidden="1" customWidth="1"/>
    <col min="11" max="11" width="15.421875" style="0" hidden="1" customWidth="1"/>
    <col min="12" max="12" width="0" style="0" hidden="1" customWidth="1"/>
  </cols>
  <sheetData>
    <row r="2" spans="2:12" ht="12.75">
      <c r="B2" s="108" t="s">
        <v>113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2.75">
      <c r="B3" s="109" t="s">
        <v>179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2:12" ht="13.5" thickBot="1">
      <c r="B4" s="32"/>
      <c r="C4" s="32"/>
      <c r="D4" s="74"/>
      <c r="E4" s="75"/>
      <c r="F4" s="75"/>
      <c r="G4" s="32"/>
      <c r="H4" s="32"/>
      <c r="I4" s="32"/>
      <c r="J4" s="32"/>
      <c r="K4" s="32"/>
      <c r="L4" s="32"/>
    </row>
    <row r="5" spans="2:12" ht="12.75">
      <c r="B5" s="26"/>
      <c r="C5" s="27"/>
      <c r="D5" s="113" t="s">
        <v>124</v>
      </c>
      <c r="E5" s="114"/>
      <c r="F5" s="115"/>
      <c r="G5" s="72" t="s">
        <v>125</v>
      </c>
      <c r="H5" s="50" t="s">
        <v>126</v>
      </c>
      <c r="I5" s="36" t="s">
        <v>105</v>
      </c>
      <c r="J5" s="48" t="s">
        <v>0</v>
      </c>
      <c r="K5" s="28" t="s">
        <v>1</v>
      </c>
      <c r="L5" s="34" t="s">
        <v>54</v>
      </c>
    </row>
    <row r="6" spans="2:12" ht="12.75">
      <c r="B6" s="29"/>
      <c r="C6" s="20" t="s">
        <v>60</v>
      </c>
      <c r="D6" s="78"/>
      <c r="E6" s="76"/>
      <c r="F6" s="79"/>
      <c r="G6" s="73" t="s">
        <v>106</v>
      </c>
      <c r="H6" s="33" t="s">
        <v>106</v>
      </c>
      <c r="I6" s="37" t="s">
        <v>96</v>
      </c>
      <c r="J6" s="7"/>
      <c r="K6" s="10"/>
      <c r="L6" s="33" t="s">
        <v>55</v>
      </c>
    </row>
    <row r="7" spans="2:12" ht="12.75">
      <c r="B7" s="38" t="s">
        <v>3</v>
      </c>
      <c r="C7" s="20" t="s">
        <v>61</v>
      </c>
      <c r="D7" s="80" t="s">
        <v>0</v>
      </c>
      <c r="E7" s="15" t="s">
        <v>107</v>
      </c>
      <c r="F7" s="23" t="s">
        <v>123</v>
      </c>
      <c r="G7" s="77" t="s">
        <v>108</v>
      </c>
      <c r="H7" s="40" t="s">
        <v>108</v>
      </c>
      <c r="I7" s="37" t="s">
        <v>111</v>
      </c>
      <c r="J7" s="7"/>
      <c r="K7" s="10"/>
      <c r="L7" s="33" t="s">
        <v>56</v>
      </c>
    </row>
    <row r="8" spans="2:12" ht="13.5" thickBot="1">
      <c r="B8" s="30"/>
      <c r="C8" s="31"/>
      <c r="D8" s="81" t="s">
        <v>38</v>
      </c>
      <c r="E8" s="39" t="s">
        <v>38</v>
      </c>
      <c r="F8" s="35" t="s">
        <v>38</v>
      </c>
      <c r="G8" s="49" t="s">
        <v>38</v>
      </c>
      <c r="H8" s="39" t="s">
        <v>38</v>
      </c>
      <c r="I8" s="35" t="s">
        <v>38</v>
      </c>
      <c r="J8" s="49" t="s">
        <v>38</v>
      </c>
      <c r="K8" s="39" t="s">
        <v>38</v>
      </c>
      <c r="L8" s="39" t="s">
        <v>38</v>
      </c>
    </row>
    <row r="9" spans="2:12" ht="12.75">
      <c r="B9" s="16" t="s">
        <v>28</v>
      </c>
      <c r="C9" s="96" t="s">
        <v>182</v>
      </c>
      <c r="D9" s="17"/>
      <c r="E9" s="17"/>
      <c r="F9" s="53"/>
      <c r="G9" s="16"/>
      <c r="H9" s="16"/>
      <c r="I9" s="16"/>
      <c r="J9" s="24">
        <f>6.61*1.18</f>
        <v>7.7998</v>
      </c>
      <c r="K9" s="24">
        <f>14.11*1.18</f>
        <v>16.6498</v>
      </c>
      <c r="L9" s="25">
        <f>J9+K9</f>
        <v>24.4496</v>
      </c>
    </row>
    <row r="10" spans="2:12" ht="12.75">
      <c r="B10" s="8"/>
      <c r="C10" s="16" t="s">
        <v>186</v>
      </c>
      <c r="D10" s="17">
        <v>7.98</v>
      </c>
      <c r="E10" s="17">
        <v>21.86</v>
      </c>
      <c r="F10" s="53">
        <f>D10+E10</f>
        <v>29.84</v>
      </c>
      <c r="G10" s="16"/>
      <c r="H10" s="16"/>
      <c r="I10" s="16"/>
      <c r="J10" s="24"/>
      <c r="K10" s="24"/>
      <c r="L10" s="25"/>
    </row>
    <row r="11" spans="2:12" ht="12.75">
      <c r="B11" s="16"/>
      <c r="C11" s="96" t="s">
        <v>184</v>
      </c>
      <c r="D11" s="17">
        <v>7.98</v>
      </c>
      <c r="E11" s="17"/>
      <c r="F11" s="53">
        <f>D11+E11</f>
        <v>7.98</v>
      </c>
      <c r="G11" s="16"/>
      <c r="H11" s="16"/>
      <c r="I11" s="16"/>
      <c r="J11" s="24"/>
      <c r="K11" s="24"/>
      <c r="L11" s="25"/>
    </row>
    <row r="12" spans="2:12" ht="12.75">
      <c r="B12" s="16"/>
      <c r="C12" s="96" t="s">
        <v>185</v>
      </c>
      <c r="D12" s="17">
        <v>7.85</v>
      </c>
      <c r="E12" s="17">
        <v>21.5</v>
      </c>
      <c r="F12" s="53">
        <f>D12+E12</f>
        <v>29.35</v>
      </c>
      <c r="G12" s="16"/>
      <c r="H12" s="16"/>
      <c r="I12" s="16"/>
      <c r="J12" s="24"/>
      <c r="K12" s="24"/>
      <c r="L12" s="25"/>
    </row>
    <row r="13" spans="2:12" ht="12.75">
      <c r="B13" s="16" t="s">
        <v>193</v>
      </c>
      <c r="C13" s="96" t="s">
        <v>195</v>
      </c>
      <c r="D13" s="17">
        <v>14.64</v>
      </c>
      <c r="E13" s="17">
        <v>14.64</v>
      </c>
      <c r="F13" s="53">
        <f>D13+E13</f>
        <v>29.28</v>
      </c>
      <c r="G13" s="16"/>
      <c r="H13" s="16"/>
      <c r="I13" s="16"/>
      <c r="J13" s="24"/>
      <c r="K13" s="24"/>
      <c r="L13" s="25"/>
    </row>
    <row r="14" spans="2:12" ht="12.75">
      <c r="B14" s="3" t="s">
        <v>172</v>
      </c>
      <c r="C14" s="3" t="s">
        <v>49</v>
      </c>
      <c r="D14" s="3">
        <v>13.12</v>
      </c>
      <c r="E14" s="3">
        <v>18.72</v>
      </c>
      <c r="F14" s="62">
        <f aca="true" t="shared" si="0" ref="F14:F76">E14+D14</f>
        <v>31.839999999999996</v>
      </c>
      <c r="G14" s="16"/>
      <c r="H14" s="16"/>
      <c r="I14" s="16"/>
      <c r="J14" s="5">
        <f>7.8*1.18</f>
        <v>9.203999999999999</v>
      </c>
      <c r="K14" s="5">
        <f>9.35*1.18</f>
        <v>11.033</v>
      </c>
      <c r="L14" s="21">
        <f>J14+K14</f>
        <v>20.237</v>
      </c>
    </row>
    <row r="15" spans="2:12" ht="12.75">
      <c r="B15" s="3" t="s">
        <v>42</v>
      </c>
      <c r="C15" s="3" t="s">
        <v>13</v>
      </c>
      <c r="D15" s="82">
        <v>15.46</v>
      </c>
      <c r="E15" s="82">
        <v>14.95</v>
      </c>
      <c r="F15" s="16">
        <f t="shared" si="0"/>
        <v>30.41</v>
      </c>
      <c r="G15" s="16">
        <f>15.46+1.13</f>
        <v>16.59</v>
      </c>
      <c r="H15" s="16">
        <f>14.95+1.1</f>
        <v>16.05</v>
      </c>
      <c r="I15" s="62">
        <f>SUM(G15:H15)</f>
        <v>32.64</v>
      </c>
      <c r="J15" s="5">
        <f>8.9*1.18</f>
        <v>10.502</v>
      </c>
      <c r="K15" s="5">
        <f>9.75*1.18</f>
        <v>11.504999999999999</v>
      </c>
      <c r="L15" s="21">
        <f>J15+K15</f>
        <v>22.006999999999998</v>
      </c>
    </row>
    <row r="16" spans="2:12" ht="12.75">
      <c r="B16" s="3" t="s">
        <v>29</v>
      </c>
      <c r="C16" s="9" t="s">
        <v>24</v>
      </c>
      <c r="D16" s="83">
        <v>13.32</v>
      </c>
      <c r="E16" s="83">
        <v>18.41</v>
      </c>
      <c r="F16" s="62">
        <f t="shared" si="0"/>
        <v>31.73</v>
      </c>
      <c r="G16" s="16"/>
      <c r="H16" s="16"/>
      <c r="I16" s="62"/>
      <c r="J16" s="5">
        <f>9.45*1.18</f>
        <v>11.150999999999998</v>
      </c>
      <c r="K16" s="5">
        <f>12.585*1.18</f>
        <v>14.8503</v>
      </c>
      <c r="L16" s="21">
        <f>J16+K16</f>
        <v>26.0013</v>
      </c>
    </row>
    <row r="17" spans="2:12" ht="12.75">
      <c r="B17" s="3" t="s">
        <v>63</v>
      </c>
      <c r="C17" s="84"/>
      <c r="D17" s="87">
        <v>11.03</v>
      </c>
      <c r="E17" s="3">
        <v>15.76</v>
      </c>
      <c r="F17" s="86">
        <f>E17+D17</f>
        <v>26.79</v>
      </c>
      <c r="G17" s="16">
        <f>11.03+0.08</f>
        <v>11.11</v>
      </c>
      <c r="H17" s="16">
        <v>15.76</v>
      </c>
      <c r="I17" s="62">
        <f>SUM(G17:H17)</f>
        <v>26.869999999999997</v>
      </c>
      <c r="J17" s="5"/>
      <c r="K17" s="5"/>
      <c r="L17" s="21"/>
    </row>
    <row r="18" spans="2:12" ht="12.75">
      <c r="B18" s="3" t="s">
        <v>41</v>
      </c>
      <c r="C18" s="3" t="s">
        <v>21</v>
      </c>
      <c r="D18" s="3">
        <v>12</v>
      </c>
      <c r="E18" s="3">
        <v>24</v>
      </c>
      <c r="F18" s="62">
        <f t="shared" si="0"/>
        <v>36</v>
      </c>
      <c r="G18" s="16"/>
      <c r="H18" s="16"/>
      <c r="I18" s="62"/>
      <c r="J18" s="5">
        <v>9.44</v>
      </c>
      <c r="K18" s="3">
        <v>13.57</v>
      </c>
      <c r="L18" s="21">
        <f>J18+K18</f>
        <v>23.009999999999998</v>
      </c>
    </row>
    <row r="19" spans="2:12" ht="12.75">
      <c r="B19" s="3" t="s">
        <v>30</v>
      </c>
      <c r="C19" s="3" t="s">
        <v>11</v>
      </c>
      <c r="D19" s="83">
        <v>10.37</v>
      </c>
      <c r="E19" s="92">
        <v>14.64</v>
      </c>
      <c r="F19" s="16">
        <f t="shared" si="0"/>
        <v>25.009999999999998</v>
      </c>
      <c r="G19" s="16">
        <f>10.37+2.65</f>
        <v>13.02</v>
      </c>
      <c r="H19" s="16">
        <f>14.64+2.12</f>
        <v>16.76</v>
      </c>
      <c r="I19" s="62">
        <f>SUM(G19:H19)</f>
        <v>29.78</v>
      </c>
      <c r="J19" s="5">
        <f>7.203*1.18</f>
        <v>8.49954</v>
      </c>
      <c r="K19" s="5">
        <f>10.17*1.18</f>
        <v>12.000599999999999</v>
      </c>
      <c r="L19" s="21">
        <f>J19+K19</f>
        <v>20.50014</v>
      </c>
    </row>
    <row r="20" spans="2:12" ht="12.75">
      <c r="B20" s="3" t="s">
        <v>142</v>
      </c>
      <c r="C20" s="3" t="s">
        <v>74</v>
      </c>
      <c r="D20" s="3">
        <v>8.14</v>
      </c>
      <c r="E20" s="3">
        <v>19.32</v>
      </c>
      <c r="F20" s="16">
        <f t="shared" si="0"/>
        <v>27.46</v>
      </c>
      <c r="G20" s="16">
        <f>8.14+1.33</f>
        <v>9.47</v>
      </c>
      <c r="H20" s="16">
        <f>19.32+0.68</f>
        <v>20</v>
      </c>
      <c r="I20" s="62">
        <f>SUM(G20:H20)</f>
        <v>29.47</v>
      </c>
      <c r="J20" s="5">
        <v>6.5</v>
      </c>
      <c r="K20" s="5">
        <v>13</v>
      </c>
      <c r="L20" s="21">
        <f>J20+K20</f>
        <v>19.5</v>
      </c>
    </row>
    <row r="21" spans="2:12" ht="12.75">
      <c r="B21" s="3"/>
      <c r="C21" s="3" t="s">
        <v>73</v>
      </c>
      <c r="D21" s="3">
        <v>14.4</v>
      </c>
      <c r="E21" s="3">
        <v>14.4</v>
      </c>
      <c r="F21" s="62">
        <f t="shared" si="0"/>
        <v>28.8</v>
      </c>
      <c r="G21" s="16"/>
      <c r="H21" s="16"/>
      <c r="I21" s="62"/>
      <c r="J21" s="5"/>
      <c r="K21" s="5"/>
      <c r="L21" s="21"/>
    </row>
    <row r="22" spans="2:12" ht="12.75">
      <c r="B22" s="3"/>
      <c r="C22" s="3" t="s">
        <v>134</v>
      </c>
      <c r="D22" s="3">
        <v>6.2</v>
      </c>
      <c r="E22" s="3">
        <v>5.44</v>
      </c>
      <c r="F22" s="86">
        <f t="shared" si="0"/>
        <v>11.64</v>
      </c>
      <c r="G22" s="16"/>
      <c r="H22" s="16"/>
      <c r="I22" s="62"/>
      <c r="J22" s="5"/>
      <c r="K22" s="5"/>
      <c r="L22" s="21"/>
    </row>
    <row r="23" spans="2:12" ht="12.75">
      <c r="B23" s="3"/>
      <c r="C23" s="3" t="s">
        <v>135</v>
      </c>
      <c r="D23" s="3"/>
      <c r="E23" s="3">
        <v>12.71</v>
      </c>
      <c r="F23" s="86">
        <f t="shared" si="0"/>
        <v>12.71</v>
      </c>
      <c r="G23" s="16"/>
      <c r="H23" s="16"/>
      <c r="I23" s="62"/>
      <c r="J23" s="5"/>
      <c r="K23" s="5"/>
      <c r="L23" s="21"/>
    </row>
    <row r="24" spans="2:12" ht="12.75">
      <c r="B24" s="3" t="s">
        <v>53</v>
      </c>
      <c r="C24" s="3" t="s">
        <v>52</v>
      </c>
      <c r="D24" s="5">
        <v>15.1</v>
      </c>
      <c r="E24" s="5">
        <v>21.2</v>
      </c>
      <c r="F24" s="62">
        <f t="shared" si="0"/>
        <v>36.3</v>
      </c>
      <c r="G24" s="16"/>
      <c r="H24" s="16"/>
      <c r="I24" s="62"/>
      <c r="J24" s="5">
        <f>9.32*1.18</f>
        <v>10.9976</v>
      </c>
      <c r="K24" s="5">
        <f>12.71*1.18</f>
        <v>14.9978</v>
      </c>
      <c r="L24" s="21">
        <f>J24+K24</f>
        <v>25.9954</v>
      </c>
    </row>
    <row r="25" spans="2:12" ht="12.75">
      <c r="B25" s="3" t="s">
        <v>164</v>
      </c>
      <c r="C25" s="3" t="s">
        <v>165</v>
      </c>
      <c r="D25" s="5">
        <v>17.4</v>
      </c>
      <c r="E25" s="5">
        <v>25.8</v>
      </c>
      <c r="F25" s="62">
        <f t="shared" si="0"/>
        <v>43.2</v>
      </c>
      <c r="G25" s="24">
        <f>D25+2.03</f>
        <v>19.43</v>
      </c>
      <c r="H25" s="24">
        <f>E25+2.9</f>
        <v>28.7</v>
      </c>
      <c r="I25" s="62">
        <f aca="true" t="shared" si="1" ref="I25:I32">SUM(G25:H25)</f>
        <v>48.129999999999995</v>
      </c>
      <c r="J25" s="5"/>
      <c r="K25" s="5"/>
      <c r="L25" s="21"/>
    </row>
    <row r="26" spans="2:12" ht="12.75">
      <c r="B26" s="3" t="s">
        <v>31</v>
      </c>
      <c r="C26" s="3" t="s">
        <v>8</v>
      </c>
      <c r="D26" s="5">
        <v>13.2</v>
      </c>
      <c r="E26" s="5">
        <v>17.3</v>
      </c>
      <c r="F26" s="16">
        <f t="shared" si="0"/>
        <v>30.5</v>
      </c>
      <c r="G26" s="16">
        <f>13.2+1.19</f>
        <v>14.389999999999999</v>
      </c>
      <c r="H26" s="16">
        <f>17.3+1.18</f>
        <v>18.48</v>
      </c>
      <c r="I26" s="62">
        <f>SUM(G26:H26)</f>
        <v>32.87</v>
      </c>
      <c r="J26" s="5"/>
      <c r="K26" s="5"/>
      <c r="L26" s="21"/>
    </row>
    <row r="27" spans="2:12" ht="12.75">
      <c r="B27" s="3"/>
      <c r="C27" s="3" t="s">
        <v>22</v>
      </c>
      <c r="D27" s="5">
        <v>13.2</v>
      </c>
      <c r="E27" s="5">
        <v>18.3</v>
      </c>
      <c r="F27" s="16">
        <f t="shared" si="0"/>
        <v>31.5</v>
      </c>
      <c r="G27" s="16">
        <f>13.2+1.19</f>
        <v>14.389999999999999</v>
      </c>
      <c r="H27" s="16">
        <f>18.3+1.18</f>
        <v>19.48</v>
      </c>
      <c r="I27" s="62">
        <f>SUM(G27:H27)</f>
        <v>33.87</v>
      </c>
      <c r="J27" s="5"/>
      <c r="K27" s="5"/>
      <c r="L27" s="21"/>
    </row>
    <row r="28" spans="2:12" ht="12.75">
      <c r="B28" s="3"/>
      <c r="C28" s="3" t="s">
        <v>169</v>
      </c>
      <c r="D28" s="5">
        <v>11.7</v>
      </c>
      <c r="E28" s="5">
        <v>21.71</v>
      </c>
      <c r="F28" s="16">
        <f t="shared" si="0"/>
        <v>33.41</v>
      </c>
      <c r="G28" s="16">
        <f>11.7+1.19</f>
        <v>12.889999999999999</v>
      </c>
      <c r="H28" s="16">
        <f>21.71+1.18</f>
        <v>22.89</v>
      </c>
      <c r="I28" s="62">
        <f>SUM(G28:H28)</f>
        <v>35.78</v>
      </c>
      <c r="J28" s="5"/>
      <c r="K28" s="5"/>
      <c r="L28" s="21"/>
    </row>
    <row r="29" spans="2:12" ht="12.75">
      <c r="B29" s="3" t="s">
        <v>173</v>
      </c>
      <c r="C29" s="3" t="s">
        <v>17</v>
      </c>
      <c r="D29" s="5">
        <v>10.16</v>
      </c>
      <c r="E29" s="5">
        <v>18.82</v>
      </c>
      <c r="F29" s="16">
        <f t="shared" si="0"/>
        <v>28.98</v>
      </c>
      <c r="G29" s="16">
        <f>10.16+2.89</f>
        <v>13.05</v>
      </c>
      <c r="H29" s="16">
        <f>18.82+3.01</f>
        <v>21.83</v>
      </c>
      <c r="I29" s="62">
        <f t="shared" si="1"/>
        <v>34.879999999999995</v>
      </c>
      <c r="J29" s="5"/>
      <c r="K29" s="5"/>
      <c r="L29" s="21"/>
    </row>
    <row r="30" spans="2:12" ht="12.75">
      <c r="B30" s="3"/>
      <c r="C30" s="3" t="s">
        <v>130</v>
      </c>
      <c r="D30" s="3">
        <v>10.16</v>
      </c>
      <c r="E30" s="3">
        <v>13.22</v>
      </c>
      <c r="F30" s="16">
        <f t="shared" si="0"/>
        <v>23.380000000000003</v>
      </c>
      <c r="G30" s="16">
        <f>10.16+2.89</f>
        <v>13.05</v>
      </c>
      <c r="H30" s="16">
        <f>13.22+3.01</f>
        <v>16.23</v>
      </c>
      <c r="I30" s="62">
        <f t="shared" si="1"/>
        <v>29.28</v>
      </c>
      <c r="J30" s="5"/>
      <c r="K30" s="5"/>
      <c r="L30" s="21"/>
    </row>
    <row r="31" spans="2:12" ht="12.75">
      <c r="B31" s="3"/>
      <c r="C31" s="3" t="s">
        <v>131</v>
      </c>
      <c r="D31" s="5">
        <v>10.16</v>
      </c>
      <c r="E31" s="3">
        <v>13.22</v>
      </c>
      <c r="F31" s="16">
        <f t="shared" si="0"/>
        <v>23.380000000000003</v>
      </c>
      <c r="G31" s="16">
        <f>10.16+2.89</f>
        <v>13.05</v>
      </c>
      <c r="H31" s="16">
        <f>13.22+3.01</f>
        <v>16.23</v>
      </c>
      <c r="I31" s="62">
        <f t="shared" si="1"/>
        <v>29.28</v>
      </c>
      <c r="J31" s="5"/>
      <c r="K31" s="5"/>
      <c r="L31" s="21"/>
    </row>
    <row r="32" spans="2:12" ht="12.75">
      <c r="B32" s="3"/>
      <c r="C32" s="3" t="s">
        <v>132</v>
      </c>
      <c r="D32" s="3">
        <v>10.16</v>
      </c>
      <c r="E32" s="3">
        <v>18.82</v>
      </c>
      <c r="F32" s="16">
        <f t="shared" si="0"/>
        <v>28.98</v>
      </c>
      <c r="G32" s="16">
        <f>10.16+2.89</f>
        <v>13.05</v>
      </c>
      <c r="H32" s="16">
        <f>3.01+18.82</f>
        <v>21.83</v>
      </c>
      <c r="I32" s="62">
        <f t="shared" si="1"/>
        <v>34.879999999999995</v>
      </c>
      <c r="J32" s="5"/>
      <c r="K32" s="5"/>
      <c r="L32" s="21"/>
    </row>
    <row r="33" spans="2:12" ht="12.75">
      <c r="B33" s="3" t="s">
        <v>138</v>
      </c>
      <c r="C33" s="3" t="s">
        <v>140</v>
      </c>
      <c r="D33" s="3">
        <v>10.5</v>
      </c>
      <c r="E33" s="3">
        <v>14.5</v>
      </c>
      <c r="F33" s="62">
        <f>E33+D33</f>
        <v>25</v>
      </c>
      <c r="G33" s="16"/>
      <c r="H33" s="16"/>
      <c r="I33" s="62"/>
      <c r="J33" s="5"/>
      <c r="K33" s="5"/>
      <c r="L33" s="21"/>
    </row>
    <row r="34" spans="2:12" ht="12.75">
      <c r="B34" s="3" t="s">
        <v>180</v>
      </c>
      <c r="C34" s="3" t="s">
        <v>18</v>
      </c>
      <c r="D34" s="3">
        <v>10.2</v>
      </c>
      <c r="E34" s="3">
        <v>14.75</v>
      </c>
      <c r="F34" s="62">
        <f t="shared" si="0"/>
        <v>24.95</v>
      </c>
      <c r="G34" s="16"/>
      <c r="H34" s="16"/>
      <c r="I34" s="62"/>
      <c r="J34" s="5">
        <v>9.4</v>
      </c>
      <c r="K34" s="5">
        <v>12.7</v>
      </c>
      <c r="L34" s="21">
        <f>J34+K34</f>
        <v>22.1</v>
      </c>
    </row>
    <row r="35" spans="2:12" ht="12.75">
      <c r="B35" s="3" t="s">
        <v>171</v>
      </c>
      <c r="C35" s="3"/>
      <c r="D35" s="3">
        <v>12</v>
      </c>
      <c r="E35" s="3">
        <v>15.6</v>
      </c>
      <c r="F35" s="62">
        <f t="shared" si="0"/>
        <v>27.6</v>
      </c>
      <c r="G35" s="16"/>
      <c r="H35" s="16"/>
      <c r="I35" s="62"/>
      <c r="J35" s="5"/>
      <c r="K35" s="5"/>
      <c r="L35" s="21"/>
    </row>
    <row r="36" spans="2:12" ht="12.75">
      <c r="B36" s="3"/>
      <c r="C36" s="3" t="s">
        <v>189</v>
      </c>
      <c r="D36" s="3">
        <v>13.22</v>
      </c>
      <c r="E36" s="3">
        <v>17.28</v>
      </c>
      <c r="F36" s="62">
        <f t="shared" si="0"/>
        <v>30.5</v>
      </c>
      <c r="G36" s="16"/>
      <c r="H36" s="16"/>
      <c r="I36" s="62"/>
      <c r="J36" s="5"/>
      <c r="K36" s="5"/>
      <c r="L36" s="21"/>
    </row>
    <row r="37" spans="2:12" ht="12.75">
      <c r="B37" s="3"/>
      <c r="C37" s="105" t="s">
        <v>190</v>
      </c>
      <c r="D37" s="3">
        <v>17.7</v>
      </c>
      <c r="E37" s="3">
        <v>21.14</v>
      </c>
      <c r="F37" s="62">
        <f t="shared" si="0"/>
        <v>38.84</v>
      </c>
      <c r="G37" s="16"/>
      <c r="H37" s="16"/>
      <c r="I37" s="62"/>
      <c r="J37" s="5"/>
      <c r="K37" s="5"/>
      <c r="L37" s="21"/>
    </row>
    <row r="38" spans="2:12" ht="12.75">
      <c r="B38" s="3"/>
      <c r="C38" s="3" t="s">
        <v>191</v>
      </c>
      <c r="D38" s="3">
        <v>15.6</v>
      </c>
      <c r="E38" s="3">
        <v>12</v>
      </c>
      <c r="F38" s="62">
        <f t="shared" si="0"/>
        <v>27.6</v>
      </c>
      <c r="G38" s="16"/>
      <c r="H38" s="16"/>
      <c r="I38" s="62"/>
      <c r="J38" s="5"/>
      <c r="K38" s="5"/>
      <c r="L38" s="21"/>
    </row>
    <row r="39" spans="2:12" ht="12.75">
      <c r="B39" s="3"/>
      <c r="C39" s="3" t="s">
        <v>192</v>
      </c>
      <c r="D39" s="3">
        <v>9.16</v>
      </c>
      <c r="E39" s="3">
        <v>10.18</v>
      </c>
      <c r="F39" s="62">
        <f t="shared" si="0"/>
        <v>19.34</v>
      </c>
      <c r="G39" s="16"/>
      <c r="H39" s="16"/>
      <c r="I39" s="62"/>
      <c r="J39" s="5"/>
      <c r="K39" s="5"/>
      <c r="L39" s="21"/>
    </row>
    <row r="40" spans="2:12" ht="12.75">
      <c r="B40" s="3" t="s">
        <v>32</v>
      </c>
      <c r="C40" s="3" t="s">
        <v>10</v>
      </c>
      <c r="D40" s="3">
        <v>11.64</v>
      </c>
      <c r="E40" s="3">
        <v>20.04</v>
      </c>
      <c r="F40" s="16">
        <f t="shared" si="0"/>
        <v>31.68</v>
      </c>
      <c r="G40" s="16">
        <f>11.64+1.89</f>
        <v>13.530000000000001</v>
      </c>
      <c r="H40" s="16">
        <f>20.04+1.86</f>
        <v>21.9</v>
      </c>
      <c r="I40" s="62">
        <f>SUM(G40:H40)</f>
        <v>35.43</v>
      </c>
      <c r="J40" s="5">
        <f>7.2*1.18</f>
        <v>8.496</v>
      </c>
      <c r="K40" s="3">
        <v>13.22</v>
      </c>
      <c r="L40" s="21">
        <f>J40+K40</f>
        <v>21.716</v>
      </c>
    </row>
    <row r="41" spans="2:12" ht="12.75">
      <c r="B41" s="3" t="s">
        <v>129</v>
      </c>
      <c r="C41" s="3" t="s">
        <v>25</v>
      </c>
      <c r="D41" s="3">
        <v>16.8</v>
      </c>
      <c r="E41" s="3">
        <v>16.8</v>
      </c>
      <c r="F41" s="62">
        <f t="shared" si="0"/>
        <v>33.6</v>
      </c>
      <c r="G41" s="16"/>
      <c r="H41" s="16"/>
      <c r="I41" s="62"/>
      <c r="J41" s="5">
        <v>12.5</v>
      </c>
      <c r="K41" s="5">
        <v>13.33</v>
      </c>
      <c r="L41" s="21">
        <f>J41+K41</f>
        <v>25.83</v>
      </c>
    </row>
    <row r="42" spans="2:12" ht="12.75">
      <c r="B42" s="3" t="s">
        <v>145</v>
      </c>
      <c r="C42" s="3" t="s">
        <v>67</v>
      </c>
      <c r="D42" s="3">
        <v>9.15</v>
      </c>
      <c r="E42" s="3">
        <v>15.25</v>
      </c>
      <c r="F42" s="62">
        <f t="shared" si="0"/>
        <v>24.4</v>
      </c>
      <c r="G42" s="16"/>
      <c r="H42" s="16"/>
      <c r="I42" s="62"/>
      <c r="J42" s="5">
        <v>7</v>
      </c>
      <c r="K42" s="5">
        <v>13</v>
      </c>
      <c r="L42" s="21">
        <f>J42+K42</f>
        <v>20</v>
      </c>
    </row>
    <row r="43" spans="2:12" ht="12.75">
      <c r="B43" s="3"/>
      <c r="C43" s="3" t="s">
        <v>62</v>
      </c>
      <c r="D43" s="3">
        <v>9.9</v>
      </c>
      <c r="E43" s="3">
        <v>16.8</v>
      </c>
      <c r="F43" s="62">
        <f t="shared" si="0"/>
        <v>26.700000000000003</v>
      </c>
      <c r="G43" s="16"/>
      <c r="H43" s="16"/>
      <c r="I43" s="62"/>
      <c r="J43" s="5">
        <f>5.85*1.18</f>
        <v>6.903</v>
      </c>
      <c r="K43" s="5">
        <f>6.9*1.18</f>
        <v>8.142</v>
      </c>
      <c r="L43" s="21">
        <f>SUM(J43:K43)</f>
        <v>15.044999999999998</v>
      </c>
    </row>
    <row r="44" spans="2:12" ht="12.75">
      <c r="B44" s="3"/>
      <c r="C44" s="3" t="s">
        <v>66</v>
      </c>
      <c r="D44" s="3">
        <v>14.24</v>
      </c>
      <c r="E44" s="3">
        <v>14.24</v>
      </c>
      <c r="F44" s="62">
        <f t="shared" si="0"/>
        <v>28.48</v>
      </c>
      <c r="G44" s="16"/>
      <c r="H44" s="16"/>
      <c r="I44" s="62"/>
      <c r="J44" s="5"/>
      <c r="K44" s="5"/>
      <c r="L44" s="21"/>
    </row>
    <row r="45" spans="2:12" ht="12.75">
      <c r="B45" s="3" t="s">
        <v>146</v>
      </c>
      <c r="C45" s="3" t="s">
        <v>5</v>
      </c>
      <c r="D45" s="3">
        <v>13.02</v>
      </c>
      <c r="E45" s="3">
        <v>18.91</v>
      </c>
      <c r="F45" s="86">
        <f t="shared" si="0"/>
        <v>31.93</v>
      </c>
      <c r="G45" s="16">
        <v>13.07</v>
      </c>
      <c r="H45" s="16">
        <v>18.96</v>
      </c>
      <c r="I45" s="62">
        <f>SUM(G45:H45)</f>
        <v>32.03</v>
      </c>
      <c r="J45" s="5"/>
      <c r="K45" s="5"/>
      <c r="L45" s="21"/>
    </row>
    <row r="46" spans="2:12" ht="12.75">
      <c r="B46" s="3"/>
      <c r="C46" s="3" t="s">
        <v>153</v>
      </c>
      <c r="D46" s="3">
        <v>10.16</v>
      </c>
      <c r="E46" s="3">
        <v>18.1</v>
      </c>
      <c r="F46" s="86">
        <f t="shared" si="0"/>
        <v>28.26</v>
      </c>
      <c r="G46" s="16"/>
      <c r="H46" s="16"/>
      <c r="I46" s="62"/>
      <c r="J46" s="5"/>
      <c r="K46" s="5"/>
      <c r="L46" s="21"/>
    </row>
    <row r="47" spans="2:12" ht="12.75">
      <c r="B47" s="3"/>
      <c r="C47" s="3" t="s">
        <v>168</v>
      </c>
      <c r="D47" s="3">
        <v>18</v>
      </c>
      <c r="E47" s="3">
        <v>26.4</v>
      </c>
      <c r="F47" s="86">
        <f t="shared" si="0"/>
        <v>44.4</v>
      </c>
      <c r="G47" s="16"/>
      <c r="H47" s="16"/>
      <c r="I47" s="62"/>
      <c r="J47" s="5"/>
      <c r="K47" s="5"/>
      <c r="L47" s="21"/>
    </row>
    <row r="48" spans="2:12" ht="12.75">
      <c r="B48" s="3" t="s">
        <v>147</v>
      </c>
      <c r="C48" s="82" t="s">
        <v>7</v>
      </c>
      <c r="D48" s="3">
        <v>14</v>
      </c>
      <c r="E48" s="3">
        <v>11.5</v>
      </c>
      <c r="F48" s="62">
        <f t="shared" si="0"/>
        <v>25.5</v>
      </c>
      <c r="G48" s="16"/>
      <c r="H48" s="16"/>
      <c r="I48" s="62"/>
      <c r="J48" s="5">
        <v>13</v>
      </c>
      <c r="K48" s="5">
        <v>9</v>
      </c>
      <c r="L48" s="21">
        <f>J48+K48</f>
        <v>22</v>
      </c>
    </row>
    <row r="49" spans="2:12" ht="12.75">
      <c r="B49" s="3"/>
      <c r="C49" s="3" t="s">
        <v>155</v>
      </c>
      <c r="D49" s="3">
        <v>11.7</v>
      </c>
      <c r="E49" s="3">
        <v>11.5</v>
      </c>
      <c r="F49" s="62">
        <f t="shared" si="0"/>
        <v>23.2</v>
      </c>
      <c r="G49" s="16"/>
      <c r="H49" s="16"/>
      <c r="I49" s="62"/>
      <c r="J49" s="5"/>
      <c r="K49" s="5"/>
      <c r="L49" s="21"/>
    </row>
    <row r="50" spans="2:12" ht="12.75">
      <c r="B50" s="3" t="s">
        <v>148</v>
      </c>
      <c r="C50" s="3" t="s">
        <v>167</v>
      </c>
      <c r="D50" s="3">
        <v>13.3</v>
      </c>
      <c r="E50" s="3">
        <v>17.7</v>
      </c>
      <c r="F50" s="62">
        <f t="shared" si="0"/>
        <v>31</v>
      </c>
      <c r="G50" s="16"/>
      <c r="H50" s="16"/>
      <c r="I50" s="62"/>
      <c r="J50" s="5">
        <f>10.68*1.18</f>
        <v>12.6024</v>
      </c>
      <c r="K50" s="5">
        <f>12.2*1.18</f>
        <v>14.395999999999999</v>
      </c>
      <c r="L50" s="21">
        <f>J50+K50</f>
        <v>26.998399999999997</v>
      </c>
    </row>
    <row r="51" spans="2:12" ht="12.75">
      <c r="B51" s="3"/>
      <c r="C51" s="3" t="s">
        <v>166</v>
      </c>
      <c r="D51" s="3">
        <v>16</v>
      </c>
      <c r="E51" s="3">
        <v>15.5</v>
      </c>
      <c r="F51" s="62">
        <f t="shared" si="0"/>
        <v>31.5</v>
      </c>
      <c r="G51" s="16"/>
      <c r="H51" s="16"/>
      <c r="I51" s="62"/>
      <c r="J51" s="5"/>
      <c r="K51" s="5"/>
      <c r="L51" s="21"/>
    </row>
    <row r="52" spans="2:12" ht="12.75">
      <c r="B52" s="3"/>
      <c r="C52" s="3" t="s">
        <v>136</v>
      </c>
      <c r="D52" s="3">
        <v>9.6</v>
      </c>
      <c r="E52" s="3">
        <v>14.4</v>
      </c>
      <c r="F52" s="62">
        <f t="shared" si="0"/>
        <v>24</v>
      </c>
      <c r="G52" s="16"/>
      <c r="H52" s="16"/>
      <c r="I52" s="62"/>
      <c r="J52" s="5"/>
      <c r="K52" s="5"/>
      <c r="L52" s="21"/>
    </row>
    <row r="53" spans="2:12" ht="12.75">
      <c r="B53" s="3" t="s">
        <v>47</v>
      </c>
      <c r="C53" s="3" t="s">
        <v>45</v>
      </c>
      <c r="D53" s="3">
        <v>11.72</v>
      </c>
      <c r="E53" s="3">
        <v>9.93</v>
      </c>
      <c r="F53" s="16">
        <f t="shared" si="0"/>
        <v>21.65</v>
      </c>
      <c r="G53" s="16">
        <f>11.72+0.16</f>
        <v>11.88</v>
      </c>
      <c r="H53" s="16">
        <f>9.93+0.16</f>
        <v>10.09</v>
      </c>
      <c r="I53" s="62">
        <f>SUM(G53:H53)</f>
        <v>21.97</v>
      </c>
      <c r="J53" s="5">
        <v>5.18</v>
      </c>
      <c r="K53" s="5">
        <v>4.9</v>
      </c>
      <c r="L53" s="21">
        <f>J53+K53</f>
        <v>10.08</v>
      </c>
    </row>
    <row r="54" spans="2:12" ht="12.75">
      <c r="B54" s="3" t="s">
        <v>44</v>
      </c>
      <c r="C54" s="3" t="s">
        <v>20</v>
      </c>
      <c r="D54" s="3">
        <v>16.8</v>
      </c>
      <c r="E54" s="3">
        <v>24.84</v>
      </c>
      <c r="F54" s="62">
        <f t="shared" si="0"/>
        <v>41.64</v>
      </c>
      <c r="G54" s="16"/>
      <c r="H54" s="16"/>
      <c r="I54" s="62"/>
      <c r="J54" s="5">
        <v>10.7</v>
      </c>
      <c r="K54" s="3">
        <v>14.75</v>
      </c>
      <c r="L54" s="21">
        <f>J54+K54</f>
        <v>25.45</v>
      </c>
    </row>
    <row r="55" spans="2:12" ht="12.75">
      <c r="B55" s="3" t="s">
        <v>58</v>
      </c>
      <c r="C55" s="3" t="s">
        <v>27</v>
      </c>
      <c r="D55" s="3">
        <v>18</v>
      </c>
      <c r="E55" s="3">
        <v>14.57</v>
      </c>
      <c r="F55" s="16">
        <f t="shared" si="0"/>
        <v>32.57</v>
      </c>
      <c r="G55" s="16">
        <v>18</v>
      </c>
      <c r="H55" s="16">
        <v>14.57</v>
      </c>
      <c r="I55" s="62">
        <f>SUM(G55:H55)</f>
        <v>32.57</v>
      </c>
      <c r="J55" s="5">
        <v>12.79</v>
      </c>
      <c r="K55" s="5">
        <v>10.35</v>
      </c>
      <c r="L55" s="21">
        <f>J55+K55</f>
        <v>23.14</v>
      </c>
    </row>
    <row r="56" spans="2:12" ht="12.75">
      <c r="B56" s="3" t="s">
        <v>33</v>
      </c>
      <c r="C56" s="3" t="s">
        <v>15</v>
      </c>
      <c r="D56" s="3">
        <v>16.7</v>
      </c>
      <c r="E56" s="3">
        <v>21.1</v>
      </c>
      <c r="F56" s="55">
        <f t="shared" si="0"/>
        <v>37.8</v>
      </c>
      <c r="G56" s="3"/>
      <c r="H56" s="3"/>
      <c r="I56" s="55"/>
      <c r="J56" s="5">
        <v>11</v>
      </c>
      <c r="K56" s="5">
        <v>12.6</v>
      </c>
      <c r="L56" s="21">
        <f>J56+K56</f>
        <v>23.6</v>
      </c>
    </row>
    <row r="57" spans="2:12" ht="12.75">
      <c r="B57" s="7"/>
      <c r="C57" s="7"/>
      <c r="D57" s="7"/>
      <c r="E57" s="7"/>
      <c r="F57" s="107"/>
      <c r="G57" s="7"/>
      <c r="H57" s="7"/>
      <c r="I57" s="107"/>
      <c r="J57" s="101"/>
      <c r="K57" s="5"/>
      <c r="L57" s="21"/>
    </row>
    <row r="58" spans="2:12" ht="12.75">
      <c r="B58" s="7"/>
      <c r="C58" s="7"/>
      <c r="D58" s="7"/>
      <c r="E58" s="7"/>
      <c r="F58" s="107"/>
      <c r="G58" s="7"/>
      <c r="H58" s="7"/>
      <c r="I58" s="107"/>
      <c r="J58" s="101"/>
      <c r="K58" s="5"/>
      <c r="L58" s="21"/>
    </row>
    <row r="59" spans="2:12" ht="12.75">
      <c r="B59" s="7"/>
      <c r="C59" s="7"/>
      <c r="D59" s="7"/>
      <c r="E59" s="7"/>
      <c r="F59" s="107"/>
      <c r="G59" s="7"/>
      <c r="H59" s="7"/>
      <c r="I59" s="107"/>
      <c r="J59" s="101"/>
      <c r="K59" s="5"/>
      <c r="L59" s="21"/>
    </row>
    <row r="60" spans="2:12" ht="12.75">
      <c r="B60" s="7"/>
      <c r="C60" s="7"/>
      <c r="D60" s="7"/>
      <c r="E60" s="7"/>
      <c r="F60" s="107"/>
      <c r="G60" s="7"/>
      <c r="H60" s="7"/>
      <c r="I60" s="107"/>
      <c r="J60" s="101"/>
      <c r="K60" s="5"/>
      <c r="L60" s="21"/>
    </row>
    <row r="61" spans="2:12" ht="12.75">
      <c r="B61" s="7"/>
      <c r="C61" s="7"/>
      <c r="D61" s="7"/>
      <c r="E61" s="7"/>
      <c r="F61" s="107"/>
      <c r="G61" s="7"/>
      <c r="H61" s="7"/>
      <c r="I61" s="107"/>
      <c r="J61" s="101"/>
      <c r="K61" s="5"/>
      <c r="L61" s="21"/>
    </row>
    <row r="62" spans="2:12" ht="12.75">
      <c r="B62" s="7"/>
      <c r="C62" s="7"/>
      <c r="D62" s="7"/>
      <c r="E62" s="7"/>
      <c r="F62" s="107"/>
      <c r="G62" s="7"/>
      <c r="H62" s="7"/>
      <c r="I62" s="107"/>
      <c r="J62" s="101"/>
      <c r="K62" s="5"/>
      <c r="L62" s="21"/>
    </row>
    <row r="63" spans="2:12" ht="13.5" thickBot="1">
      <c r="B63" s="7"/>
      <c r="C63" s="7"/>
      <c r="D63" s="7"/>
      <c r="E63" s="7"/>
      <c r="F63" s="107"/>
      <c r="G63" s="7"/>
      <c r="H63" s="7"/>
      <c r="I63" s="107"/>
      <c r="J63" s="101"/>
      <c r="K63" s="5"/>
      <c r="L63" s="21"/>
    </row>
    <row r="64" spans="2:12" ht="12.75">
      <c r="B64" s="26"/>
      <c r="C64" s="27"/>
      <c r="D64" s="113" t="s">
        <v>124</v>
      </c>
      <c r="E64" s="114"/>
      <c r="F64" s="115"/>
      <c r="G64" s="72" t="s">
        <v>125</v>
      </c>
      <c r="H64" s="50" t="s">
        <v>126</v>
      </c>
      <c r="I64" s="36" t="s">
        <v>105</v>
      </c>
      <c r="J64" s="5"/>
      <c r="K64" s="5"/>
      <c r="L64" s="21"/>
    </row>
    <row r="65" spans="2:12" ht="12.75">
      <c r="B65" s="29"/>
      <c r="C65" s="20" t="s">
        <v>60</v>
      </c>
      <c r="D65" s="78"/>
      <c r="E65" s="76"/>
      <c r="F65" s="79"/>
      <c r="G65" s="73" t="s">
        <v>106</v>
      </c>
      <c r="H65" s="33" t="s">
        <v>106</v>
      </c>
      <c r="I65" s="37" t="s">
        <v>96</v>
      </c>
      <c r="J65" s="5"/>
      <c r="K65" s="5"/>
      <c r="L65" s="21"/>
    </row>
    <row r="66" spans="2:12" ht="12.75">
      <c r="B66" s="38" t="s">
        <v>3</v>
      </c>
      <c r="C66" s="20" t="s">
        <v>61</v>
      </c>
      <c r="D66" s="80" t="s">
        <v>0</v>
      </c>
      <c r="E66" s="15" t="s">
        <v>107</v>
      </c>
      <c r="F66" s="23" t="s">
        <v>123</v>
      </c>
      <c r="G66" s="77" t="s">
        <v>108</v>
      </c>
      <c r="H66" s="40" t="s">
        <v>108</v>
      </c>
      <c r="I66" s="37" t="s">
        <v>111</v>
      </c>
      <c r="J66" s="5"/>
      <c r="K66" s="5"/>
      <c r="L66" s="21"/>
    </row>
    <row r="67" spans="2:12" ht="13.5" thickBot="1">
      <c r="B67" s="30"/>
      <c r="C67" s="31"/>
      <c r="D67" s="81" t="s">
        <v>38</v>
      </c>
      <c r="E67" s="39" t="s">
        <v>38</v>
      </c>
      <c r="F67" s="35" t="s">
        <v>38</v>
      </c>
      <c r="G67" s="49" t="s">
        <v>38</v>
      </c>
      <c r="H67" s="39" t="s">
        <v>38</v>
      </c>
      <c r="I67" s="35" t="s">
        <v>38</v>
      </c>
      <c r="J67" s="5"/>
      <c r="K67" s="5"/>
      <c r="L67" s="21"/>
    </row>
    <row r="68" spans="2:12" ht="12.75">
      <c r="B68" s="3" t="s">
        <v>34</v>
      </c>
      <c r="C68" s="3" t="s">
        <v>4</v>
      </c>
      <c r="D68" s="82">
        <v>10.98</v>
      </c>
      <c r="E68" s="82">
        <v>13.43</v>
      </c>
      <c r="F68" s="62">
        <f t="shared" si="0"/>
        <v>24.41</v>
      </c>
      <c r="G68" s="16"/>
      <c r="H68" s="16"/>
      <c r="I68" s="62"/>
      <c r="J68" s="5">
        <f>9.15*1.18</f>
        <v>10.797</v>
      </c>
      <c r="K68" s="5">
        <f>11.19*1.18</f>
        <v>13.204199999999998</v>
      </c>
      <c r="L68" s="21">
        <f>J68+K68</f>
        <v>24.001199999999997</v>
      </c>
    </row>
    <row r="69" spans="2:12" ht="12.75">
      <c r="B69" s="3" t="s">
        <v>174</v>
      </c>
      <c r="C69" s="3" t="s">
        <v>119</v>
      </c>
      <c r="D69" s="3">
        <v>13.22</v>
      </c>
      <c r="E69" s="3">
        <v>25.43</v>
      </c>
      <c r="F69" s="62">
        <f t="shared" si="0"/>
        <v>38.65</v>
      </c>
      <c r="G69" s="16"/>
      <c r="H69" s="16"/>
      <c r="I69" s="62"/>
      <c r="J69" s="5"/>
      <c r="K69" s="5"/>
      <c r="L69" s="21"/>
    </row>
    <row r="70" spans="2:12" ht="12.75">
      <c r="B70" s="3" t="s">
        <v>35</v>
      </c>
      <c r="C70" s="3" t="s">
        <v>14</v>
      </c>
      <c r="D70" s="3">
        <v>10.58</v>
      </c>
      <c r="E70" s="3">
        <v>19.93</v>
      </c>
      <c r="F70" s="62">
        <f t="shared" si="0"/>
        <v>30.509999999999998</v>
      </c>
      <c r="G70" s="16"/>
      <c r="H70" s="16"/>
      <c r="I70" s="62"/>
      <c r="J70" s="5"/>
      <c r="K70" s="5"/>
      <c r="L70" s="21"/>
    </row>
    <row r="71" spans="2:12" ht="12.75">
      <c r="B71" s="3"/>
      <c r="C71" s="3" t="s">
        <v>152</v>
      </c>
      <c r="D71" s="3">
        <v>19.32</v>
      </c>
      <c r="E71" s="3">
        <v>27.72</v>
      </c>
      <c r="F71" s="62">
        <f t="shared" si="0"/>
        <v>47.04</v>
      </c>
      <c r="G71" s="16"/>
      <c r="H71" s="16"/>
      <c r="I71" s="62"/>
      <c r="J71" s="5"/>
      <c r="K71" s="5"/>
      <c r="L71" s="21"/>
    </row>
    <row r="72" spans="2:12" ht="12.75">
      <c r="B72" s="3"/>
      <c r="C72" s="3" t="s">
        <v>150</v>
      </c>
      <c r="D72" s="3">
        <v>12.72</v>
      </c>
      <c r="E72" s="3">
        <v>18.36</v>
      </c>
      <c r="F72" s="62">
        <f t="shared" si="0"/>
        <v>31.08</v>
      </c>
      <c r="G72" s="16"/>
      <c r="H72" s="16"/>
      <c r="I72" s="62"/>
      <c r="J72" s="5"/>
      <c r="K72" s="5"/>
      <c r="L72" s="21"/>
    </row>
    <row r="73" spans="2:12" ht="12.75">
      <c r="B73" s="3"/>
      <c r="C73" s="3" t="s">
        <v>151</v>
      </c>
      <c r="D73" s="3">
        <v>17.52</v>
      </c>
      <c r="E73" s="3">
        <v>19.68</v>
      </c>
      <c r="F73" s="62">
        <f t="shared" si="0"/>
        <v>37.2</v>
      </c>
      <c r="G73" s="16"/>
      <c r="H73" s="16"/>
      <c r="I73" s="62"/>
      <c r="J73" s="5"/>
      <c r="K73" s="5"/>
      <c r="L73" s="21"/>
    </row>
    <row r="74" spans="2:12" ht="12.75">
      <c r="B74" s="3" t="s">
        <v>48</v>
      </c>
      <c r="C74" s="3" t="s">
        <v>46</v>
      </c>
      <c r="D74" s="3">
        <v>14.4</v>
      </c>
      <c r="E74" s="3">
        <v>18.5</v>
      </c>
      <c r="F74" s="62">
        <f t="shared" si="0"/>
        <v>32.9</v>
      </c>
      <c r="G74" s="16"/>
      <c r="H74" s="16"/>
      <c r="I74" s="62"/>
      <c r="J74" s="5">
        <v>12.4</v>
      </c>
      <c r="K74" s="5">
        <v>15.3</v>
      </c>
      <c r="L74" s="21">
        <f>J74+K74</f>
        <v>27.700000000000003</v>
      </c>
    </row>
    <row r="75" spans="2:12" ht="12.75">
      <c r="B75" s="3" t="s">
        <v>36</v>
      </c>
      <c r="C75" s="3" t="s">
        <v>6</v>
      </c>
      <c r="D75" s="3">
        <v>12</v>
      </c>
      <c r="E75" s="3">
        <v>15.6</v>
      </c>
      <c r="F75" s="62">
        <f t="shared" si="0"/>
        <v>27.6</v>
      </c>
      <c r="G75" s="16"/>
      <c r="H75" s="16"/>
      <c r="I75" s="62"/>
      <c r="J75" s="5">
        <v>9</v>
      </c>
      <c r="K75" s="5">
        <v>12</v>
      </c>
      <c r="L75" s="21">
        <f>J75+K75</f>
        <v>21</v>
      </c>
    </row>
    <row r="76" spans="2:12" ht="12.75">
      <c r="B76" s="3" t="s">
        <v>37</v>
      </c>
      <c r="C76" s="3" t="s">
        <v>23</v>
      </c>
      <c r="D76" s="3">
        <v>14.52</v>
      </c>
      <c r="E76" s="3">
        <v>17.88</v>
      </c>
      <c r="F76" s="62">
        <f t="shared" si="0"/>
        <v>32.4</v>
      </c>
      <c r="G76" s="16"/>
      <c r="H76" s="16"/>
      <c r="I76" s="62"/>
      <c r="J76" s="5">
        <v>8</v>
      </c>
      <c r="K76" s="3">
        <v>10.62</v>
      </c>
      <c r="L76" s="21">
        <f>J76+K76</f>
        <v>18.619999999999997</v>
      </c>
    </row>
    <row r="77" spans="2:12" ht="12.75">
      <c r="B77" s="8"/>
      <c r="J77" s="1"/>
      <c r="K77" s="1"/>
      <c r="L77" s="1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  <row r="84" ht="12.75">
      <c r="B84" s="8"/>
    </row>
    <row r="85" ht="12.75">
      <c r="B85" s="8"/>
    </row>
    <row r="86" ht="12.75">
      <c r="B86" s="8"/>
    </row>
  </sheetData>
  <mergeCells count="4">
    <mergeCell ref="B2:L2"/>
    <mergeCell ref="B3:L3"/>
    <mergeCell ref="D5:F5"/>
    <mergeCell ref="D64:F64"/>
  </mergeCells>
  <printOptions/>
  <pageMargins left="0.7480314960629921" right="0.3937007874015748" top="0.984251968503937" bottom="0.1968503937007874" header="0.196850393700787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45"/>
  <sheetViews>
    <sheetView workbookViewId="0" topLeftCell="A1">
      <selection activeCell="R7" sqref="R7"/>
    </sheetView>
  </sheetViews>
  <sheetFormatPr defaultColWidth="9.140625" defaultRowHeight="12.75"/>
  <cols>
    <col min="1" max="1" width="6.57421875" style="0" customWidth="1"/>
    <col min="2" max="2" width="20.7109375" style="0" customWidth="1"/>
    <col min="3" max="3" width="11.28125" style="0" hidden="1" customWidth="1"/>
    <col min="6" max="6" width="11.421875" style="0" hidden="1" customWidth="1"/>
  </cols>
  <sheetData>
    <row r="1" spans="2:6" ht="12.75">
      <c r="B1" s="108" t="s">
        <v>87</v>
      </c>
      <c r="C1" s="108"/>
      <c r="D1" s="108"/>
      <c r="E1" s="108"/>
      <c r="F1" s="108"/>
    </row>
    <row r="2" spans="2:6" ht="14.25">
      <c r="B2" s="108" t="s">
        <v>70</v>
      </c>
      <c r="C2" s="108"/>
      <c r="D2" s="108"/>
      <c r="E2" s="108"/>
      <c r="F2" s="108"/>
    </row>
    <row r="3" spans="2:6" ht="12.75">
      <c r="B3" s="63"/>
      <c r="C3" s="63"/>
      <c r="D3" s="63"/>
      <c r="E3" s="63"/>
      <c r="F3" s="63"/>
    </row>
    <row r="4" spans="2:6" ht="12.75">
      <c r="B4" s="3"/>
      <c r="C4" s="18"/>
      <c r="D4" s="18" t="s">
        <v>2</v>
      </c>
      <c r="E4" s="90" t="s">
        <v>88</v>
      </c>
      <c r="F4" s="63"/>
    </row>
    <row r="5" spans="2:6" ht="12.75">
      <c r="B5" s="16" t="s">
        <v>28</v>
      </c>
      <c r="C5" s="7" t="s">
        <v>9</v>
      </c>
      <c r="D5" s="5">
        <v>7.98</v>
      </c>
      <c r="E5" s="3">
        <v>21.86</v>
      </c>
      <c r="F5" s="56"/>
    </row>
    <row r="6" spans="2:6" ht="12.75">
      <c r="B6" s="16" t="s">
        <v>196</v>
      </c>
      <c r="C6" s="7"/>
      <c r="D6" s="5">
        <v>14.64</v>
      </c>
      <c r="E6" s="3">
        <v>14.64</v>
      </c>
      <c r="F6" s="56"/>
    </row>
    <row r="7" spans="2:6" ht="12.75">
      <c r="B7" s="3" t="s">
        <v>51</v>
      </c>
      <c r="C7" s="3" t="s">
        <v>49</v>
      </c>
      <c r="D7" s="5">
        <v>15.48</v>
      </c>
      <c r="E7" s="5">
        <v>22.08</v>
      </c>
      <c r="F7" s="21">
        <f aca="true" t="shared" si="0" ref="F7:F34">D7+E7</f>
        <v>37.56</v>
      </c>
    </row>
    <row r="8" spans="2:6" ht="12.75">
      <c r="B8" s="3" t="s">
        <v>42</v>
      </c>
      <c r="C8" s="3" t="s">
        <v>13</v>
      </c>
      <c r="D8" s="5">
        <v>16.8</v>
      </c>
      <c r="E8" s="5">
        <v>16.37</v>
      </c>
      <c r="F8" s="21">
        <f t="shared" si="0"/>
        <v>33.17</v>
      </c>
    </row>
    <row r="9" spans="2:6" ht="12.75">
      <c r="B9" s="3" t="s">
        <v>29</v>
      </c>
      <c r="C9" s="9" t="s">
        <v>24</v>
      </c>
      <c r="D9" s="5">
        <v>13.32</v>
      </c>
      <c r="E9" s="5">
        <v>26.7</v>
      </c>
      <c r="F9" s="21">
        <f t="shared" si="0"/>
        <v>40.019999999999996</v>
      </c>
    </row>
    <row r="10" spans="2:6" ht="12.75">
      <c r="B10" s="3" t="s">
        <v>63</v>
      </c>
      <c r="C10" s="3"/>
      <c r="D10" s="5">
        <v>6.92</v>
      </c>
      <c r="E10" s="3">
        <v>16.21</v>
      </c>
      <c r="F10" s="21">
        <f t="shared" si="0"/>
        <v>23.130000000000003</v>
      </c>
    </row>
    <row r="11" spans="2:6" ht="12.75">
      <c r="B11" s="3" t="s">
        <v>41</v>
      </c>
      <c r="C11" s="3" t="s">
        <v>21</v>
      </c>
      <c r="D11" s="5">
        <v>12</v>
      </c>
      <c r="E11" s="3">
        <v>24</v>
      </c>
      <c r="F11" s="21">
        <f t="shared" si="0"/>
        <v>36</v>
      </c>
    </row>
    <row r="12" spans="2:6" ht="12.75">
      <c r="B12" s="3" t="s">
        <v>30</v>
      </c>
      <c r="C12" s="3" t="s">
        <v>11</v>
      </c>
      <c r="D12" s="5">
        <v>11.07</v>
      </c>
      <c r="E12" s="5">
        <v>15.05</v>
      </c>
      <c r="F12" s="21">
        <f t="shared" si="0"/>
        <v>26.12</v>
      </c>
    </row>
    <row r="13" spans="2:6" ht="12.75">
      <c r="B13" s="3" t="s">
        <v>90</v>
      </c>
      <c r="C13" s="3" t="s">
        <v>74</v>
      </c>
      <c r="D13" s="5">
        <v>16.29</v>
      </c>
      <c r="E13" s="5">
        <v>16.65</v>
      </c>
      <c r="F13" s="21">
        <f t="shared" si="0"/>
        <v>32.94</v>
      </c>
    </row>
    <row r="14" spans="2:6" ht="12.75">
      <c r="B14" s="11" t="s">
        <v>57</v>
      </c>
      <c r="C14" s="7" t="s">
        <v>52</v>
      </c>
      <c r="D14" s="5">
        <v>18</v>
      </c>
      <c r="E14" s="5">
        <v>31.5</v>
      </c>
      <c r="F14" s="21"/>
    </row>
    <row r="15" spans="2:6" ht="12.75">
      <c r="B15" s="11" t="s">
        <v>164</v>
      </c>
      <c r="C15" s="7"/>
      <c r="D15" s="5">
        <v>18.19</v>
      </c>
      <c r="E15" s="5">
        <v>27.12</v>
      </c>
      <c r="F15" s="21"/>
    </row>
    <row r="16" spans="2:6" ht="12.75">
      <c r="B16" s="3" t="s">
        <v>175</v>
      </c>
      <c r="C16" s="3" t="s">
        <v>8</v>
      </c>
      <c r="D16" s="5">
        <v>15.96</v>
      </c>
      <c r="E16" s="5">
        <v>21.67</v>
      </c>
      <c r="F16" s="21">
        <f t="shared" si="0"/>
        <v>37.63</v>
      </c>
    </row>
    <row r="17" spans="2:6" ht="12.75">
      <c r="B17" s="3" t="s">
        <v>143</v>
      </c>
      <c r="C17" s="3"/>
      <c r="D17" s="5">
        <v>19.28</v>
      </c>
      <c r="E17" s="5">
        <v>24.92</v>
      </c>
      <c r="F17" s="21"/>
    </row>
    <row r="18" spans="2:6" ht="12.75">
      <c r="B18" s="3" t="s">
        <v>138</v>
      </c>
      <c r="C18" s="3"/>
      <c r="D18" s="5">
        <v>10.5</v>
      </c>
      <c r="E18" s="5">
        <v>14.5</v>
      </c>
      <c r="F18" s="21"/>
    </row>
    <row r="19" spans="2:6" ht="12.75">
      <c r="B19" s="3" t="s">
        <v>181</v>
      </c>
      <c r="C19" s="3" t="s">
        <v>18</v>
      </c>
      <c r="D19" s="5">
        <v>12</v>
      </c>
      <c r="E19" s="5">
        <v>17.4</v>
      </c>
      <c r="F19" s="21">
        <f t="shared" si="0"/>
        <v>29.4</v>
      </c>
    </row>
    <row r="20" spans="2:6" ht="12.75">
      <c r="B20" s="3" t="s">
        <v>32</v>
      </c>
      <c r="C20" s="3" t="s">
        <v>10</v>
      </c>
      <c r="D20" s="3">
        <v>14.14</v>
      </c>
      <c r="E20" s="5">
        <v>34.73</v>
      </c>
      <c r="F20" s="21">
        <f t="shared" si="0"/>
        <v>48.87</v>
      </c>
    </row>
    <row r="21" spans="2:6" ht="12.75">
      <c r="B21" s="3" t="s">
        <v>129</v>
      </c>
      <c r="C21" s="3" t="s">
        <v>25</v>
      </c>
      <c r="D21" s="5">
        <v>24</v>
      </c>
      <c r="E21" s="5">
        <v>24</v>
      </c>
      <c r="F21" s="21">
        <f t="shared" si="0"/>
        <v>48</v>
      </c>
    </row>
    <row r="22" spans="2:6" ht="12.75">
      <c r="B22" s="3" t="s">
        <v>89</v>
      </c>
      <c r="C22" s="3" t="s">
        <v>67</v>
      </c>
      <c r="D22" s="5">
        <v>14.4</v>
      </c>
      <c r="E22" s="5">
        <v>18</v>
      </c>
      <c r="F22" s="21">
        <f t="shared" si="0"/>
        <v>32.4</v>
      </c>
    </row>
    <row r="23" spans="2:6" ht="12.75">
      <c r="B23" s="3" t="s">
        <v>85</v>
      </c>
      <c r="C23" s="3" t="s">
        <v>5</v>
      </c>
      <c r="D23" s="5">
        <v>13.02</v>
      </c>
      <c r="E23" s="5">
        <v>18.91</v>
      </c>
      <c r="F23" s="21">
        <f t="shared" si="0"/>
        <v>31.93</v>
      </c>
    </row>
    <row r="24" spans="2:6" ht="12.75">
      <c r="B24" s="3" t="s">
        <v>86</v>
      </c>
      <c r="C24" s="3" t="s">
        <v>68</v>
      </c>
      <c r="D24" s="5">
        <v>14</v>
      </c>
      <c r="E24" s="5">
        <v>11.5</v>
      </c>
      <c r="F24" s="21">
        <f t="shared" si="0"/>
        <v>25.5</v>
      </c>
    </row>
    <row r="25" spans="2:6" ht="12.75">
      <c r="B25" s="3" t="s">
        <v>77</v>
      </c>
      <c r="C25" s="3" t="s">
        <v>69</v>
      </c>
      <c r="D25" s="5">
        <v>13.3</v>
      </c>
      <c r="E25" s="5">
        <v>17.7</v>
      </c>
      <c r="F25" s="45">
        <f t="shared" si="0"/>
        <v>31</v>
      </c>
    </row>
    <row r="26" spans="2:6" ht="12.75">
      <c r="B26" s="3" t="s">
        <v>47</v>
      </c>
      <c r="C26" s="3" t="s">
        <v>45</v>
      </c>
      <c r="D26" s="5">
        <v>13.48</v>
      </c>
      <c r="E26" s="5">
        <v>13.09</v>
      </c>
      <c r="F26" s="21">
        <f t="shared" si="0"/>
        <v>26.57</v>
      </c>
    </row>
    <row r="27" spans="2:6" ht="12.75">
      <c r="B27" s="3" t="s">
        <v>44</v>
      </c>
      <c r="C27" s="3" t="s">
        <v>20</v>
      </c>
      <c r="D27" s="5">
        <v>31.68</v>
      </c>
      <c r="E27" s="3">
        <v>47.52</v>
      </c>
      <c r="F27" s="21">
        <f t="shared" si="0"/>
        <v>79.2</v>
      </c>
    </row>
    <row r="28" spans="2:6" ht="12.75">
      <c r="B28" s="16" t="s">
        <v>58</v>
      </c>
      <c r="C28" s="16" t="s">
        <v>27</v>
      </c>
      <c r="D28" s="5">
        <v>43.62</v>
      </c>
      <c r="E28" s="5">
        <v>31.87</v>
      </c>
      <c r="F28" s="21"/>
    </row>
    <row r="29" spans="2:6" ht="12.75">
      <c r="B29" s="3" t="s">
        <v>33</v>
      </c>
      <c r="C29" s="3" t="s">
        <v>15</v>
      </c>
      <c r="D29" s="5">
        <v>19.7</v>
      </c>
      <c r="E29" s="5">
        <v>24.85</v>
      </c>
      <c r="F29" s="21">
        <f t="shared" si="0"/>
        <v>44.55</v>
      </c>
    </row>
    <row r="30" spans="2:6" ht="12.75">
      <c r="B30" s="3" t="s">
        <v>162</v>
      </c>
      <c r="C30" s="3" t="s">
        <v>4</v>
      </c>
      <c r="D30" s="5">
        <v>10.98</v>
      </c>
      <c r="E30" s="5">
        <v>13.43</v>
      </c>
      <c r="F30" s="21">
        <f t="shared" si="0"/>
        <v>24.41</v>
      </c>
    </row>
    <row r="31" spans="2:6" ht="12.75">
      <c r="B31" s="3" t="s">
        <v>121</v>
      </c>
      <c r="C31" s="3" t="s">
        <v>22</v>
      </c>
      <c r="D31" s="5">
        <v>13.22</v>
      </c>
      <c r="E31" s="5">
        <v>25.43</v>
      </c>
      <c r="F31" s="21">
        <f t="shared" si="0"/>
        <v>38.65</v>
      </c>
    </row>
    <row r="32" spans="2:6" ht="12.75">
      <c r="B32" s="3" t="s">
        <v>133</v>
      </c>
      <c r="C32" s="3" t="s">
        <v>14</v>
      </c>
      <c r="D32" s="5">
        <v>13.7</v>
      </c>
      <c r="E32" s="5">
        <v>23.12</v>
      </c>
      <c r="F32" s="21">
        <f t="shared" si="0"/>
        <v>36.82</v>
      </c>
    </row>
    <row r="33" spans="2:6" ht="12.75">
      <c r="B33" s="3" t="s">
        <v>48</v>
      </c>
      <c r="C33" s="3" t="s">
        <v>46</v>
      </c>
      <c r="D33" s="5">
        <v>16.5</v>
      </c>
      <c r="E33" s="5">
        <v>21.8</v>
      </c>
      <c r="F33" s="21">
        <f t="shared" si="0"/>
        <v>38.3</v>
      </c>
    </row>
    <row r="34" spans="2:6" ht="12.75">
      <c r="B34" s="3" t="s">
        <v>36</v>
      </c>
      <c r="C34" s="3" t="s">
        <v>6</v>
      </c>
      <c r="D34" s="5">
        <v>13.2</v>
      </c>
      <c r="E34" s="5">
        <v>16.8</v>
      </c>
      <c r="F34" s="21">
        <f t="shared" si="0"/>
        <v>30</v>
      </c>
    </row>
    <row r="35" spans="2:6" ht="12.75">
      <c r="B35" s="3" t="s">
        <v>37</v>
      </c>
      <c r="C35" s="3" t="s">
        <v>23</v>
      </c>
      <c r="D35" s="5">
        <v>14.52</v>
      </c>
      <c r="E35" s="3">
        <v>17.88</v>
      </c>
      <c r="F35" s="21"/>
    </row>
    <row r="36" spans="2:6" ht="12.75">
      <c r="B36" s="3" t="s">
        <v>149</v>
      </c>
      <c r="C36" s="3"/>
      <c r="D36" s="5">
        <f>SUM(D5:D35)/31</f>
        <v>15.86741935483871</v>
      </c>
      <c r="E36" s="5">
        <f>SUM(E5:E35)/31</f>
        <v>21.654838709677414</v>
      </c>
      <c r="F36" s="21"/>
    </row>
    <row r="37" ht="12.75">
      <c r="F37" s="21"/>
    </row>
    <row r="38" ht="12.75">
      <c r="F38" s="21">
        <f>D35+E35</f>
        <v>32.4</v>
      </c>
    </row>
    <row r="39" spans="2:5" ht="12.75">
      <c r="B39" s="8"/>
      <c r="D39" s="4"/>
      <c r="E39" s="4"/>
    </row>
    <row r="45" ht="12.75">
      <c r="L45" t="s">
        <v>177</v>
      </c>
    </row>
  </sheetData>
  <mergeCells count="2">
    <mergeCell ref="B2:F2"/>
    <mergeCell ref="B1:F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workbookViewId="0" topLeftCell="A1">
      <selection activeCell="E41" sqref="E41"/>
    </sheetView>
  </sheetViews>
  <sheetFormatPr defaultColWidth="9.140625" defaultRowHeight="12.75"/>
  <cols>
    <col min="1" max="1" width="10.57421875" style="0" customWidth="1"/>
    <col min="2" max="2" width="20.7109375" style="0" customWidth="1"/>
    <col min="3" max="3" width="6.8515625" style="0" customWidth="1"/>
    <col min="4" max="4" width="7.8515625" style="0" customWidth="1"/>
    <col min="17" max="17" width="22.421875" style="0" customWidth="1"/>
    <col min="19" max="19" width="13.57421875" style="0" customWidth="1"/>
    <col min="31" max="31" width="18.421875" style="0" customWidth="1"/>
    <col min="33" max="33" width="0" style="0" hidden="1" customWidth="1"/>
  </cols>
  <sheetData>
    <row r="1" spans="2:4" ht="12.75">
      <c r="B1" s="108" t="s">
        <v>92</v>
      </c>
      <c r="C1" s="108"/>
      <c r="D1" s="108"/>
    </row>
    <row r="2" spans="2:5" ht="14.25">
      <c r="B2" s="116" t="s">
        <v>91</v>
      </c>
      <c r="C2" s="116"/>
      <c r="D2" s="116"/>
      <c r="E2" s="116"/>
    </row>
    <row r="3" spans="2:5" ht="12.75">
      <c r="B3" s="11"/>
      <c r="C3" s="11"/>
      <c r="D3" s="11"/>
      <c r="E3" s="23"/>
    </row>
    <row r="4" spans="2:4" ht="12.75">
      <c r="B4" s="17" t="s">
        <v>137</v>
      </c>
      <c r="C4" s="17" t="s">
        <v>59</v>
      </c>
      <c r="D4" s="17" t="s">
        <v>56</v>
      </c>
    </row>
    <row r="5" spans="2:4" ht="12.75">
      <c r="B5" s="3" t="s">
        <v>187</v>
      </c>
      <c r="C5" s="5">
        <v>7.98</v>
      </c>
      <c r="D5" s="3">
        <v>21.86</v>
      </c>
    </row>
    <row r="6" spans="2:4" ht="12.75">
      <c r="B6" s="3" t="s">
        <v>197</v>
      </c>
      <c r="C6" s="5">
        <v>14.64</v>
      </c>
      <c r="D6" s="3">
        <v>14.64</v>
      </c>
    </row>
    <row r="7" spans="2:4" ht="12.75">
      <c r="B7" s="3" t="s">
        <v>51</v>
      </c>
      <c r="C7" s="5">
        <v>13.12</v>
      </c>
      <c r="D7" s="5">
        <v>18.72</v>
      </c>
    </row>
    <row r="8" spans="2:4" ht="12.75">
      <c r="B8" s="3" t="s">
        <v>42</v>
      </c>
      <c r="C8" s="5">
        <v>16.59</v>
      </c>
      <c r="D8" s="5">
        <v>16.05</v>
      </c>
    </row>
    <row r="9" spans="2:4" ht="12.75">
      <c r="B9" s="3" t="s">
        <v>29</v>
      </c>
      <c r="C9" s="5">
        <v>13.32</v>
      </c>
      <c r="D9" s="5">
        <v>18.41</v>
      </c>
    </row>
    <row r="10" spans="2:4" ht="12.75">
      <c r="B10" s="3" t="s">
        <v>63</v>
      </c>
      <c r="C10" s="5">
        <v>11.11</v>
      </c>
      <c r="D10" s="3">
        <v>15.76</v>
      </c>
    </row>
    <row r="11" spans="2:4" ht="12.75">
      <c r="B11" s="3" t="s">
        <v>41</v>
      </c>
      <c r="C11" s="5">
        <v>12</v>
      </c>
      <c r="D11" s="3">
        <v>24</v>
      </c>
    </row>
    <row r="12" spans="2:4" ht="12.75">
      <c r="B12" s="3" t="s">
        <v>30</v>
      </c>
      <c r="C12" s="5">
        <v>13.02</v>
      </c>
      <c r="D12" s="5">
        <v>16.76</v>
      </c>
    </row>
    <row r="13" spans="2:4" ht="12.75">
      <c r="B13" s="3" t="s">
        <v>26</v>
      </c>
      <c r="C13" s="5">
        <v>13.32</v>
      </c>
      <c r="D13" s="5">
        <v>18.36</v>
      </c>
    </row>
    <row r="14" spans="2:4" ht="12.75">
      <c r="B14" s="3" t="s">
        <v>78</v>
      </c>
      <c r="C14" s="5">
        <v>9.47</v>
      </c>
      <c r="D14" s="5">
        <v>20</v>
      </c>
    </row>
    <row r="15" spans="2:4" ht="12.75">
      <c r="B15" s="3" t="s">
        <v>53</v>
      </c>
      <c r="C15" s="5">
        <v>15.1</v>
      </c>
      <c r="D15" s="5">
        <v>21.2</v>
      </c>
    </row>
    <row r="16" spans="2:4" ht="12.75">
      <c r="B16" s="3" t="s">
        <v>164</v>
      </c>
      <c r="C16" s="5">
        <v>19.43</v>
      </c>
      <c r="D16" s="5">
        <v>28.7</v>
      </c>
    </row>
    <row r="17" spans="2:4" ht="12.75">
      <c r="B17" s="3" t="s">
        <v>31</v>
      </c>
      <c r="C17" s="5">
        <v>14.39</v>
      </c>
      <c r="D17" s="5">
        <v>18.48</v>
      </c>
    </row>
    <row r="18" spans="2:4" ht="12.75">
      <c r="B18" s="3" t="s">
        <v>83</v>
      </c>
      <c r="C18" s="5">
        <v>13.05</v>
      </c>
      <c r="D18" s="5">
        <v>21.83</v>
      </c>
    </row>
    <row r="19" spans="2:4" ht="12.75">
      <c r="B19" s="3" t="s">
        <v>138</v>
      </c>
      <c r="C19" s="5">
        <v>10.5</v>
      </c>
      <c r="D19" s="3">
        <v>14.5</v>
      </c>
    </row>
    <row r="20" spans="2:4" ht="12.75">
      <c r="B20" s="3" t="s">
        <v>181</v>
      </c>
      <c r="C20" s="5">
        <v>10.2</v>
      </c>
      <c r="D20" s="5">
        <v>14.75</v>
      </c>
    </row>
    <row r="21" spans="2:4" ht="12.75">
      <c r="B21" s="3" t="s">
        <v>32</v>
      </c>
      <c r="C21" s="3">
        <v>13.53</v>
      </c>
      <c r="D21" s="5">
        <v>21.9</v>
      </c>
    </row>
    <row r="22" spans="2:4" ht="12.75">
      <c r="B22" s="3" t="s">
        <v>129</v>
      </c>
      <c r="C22" s="5">
        <v>16.8</v>
      </c>
      <c r="D22" s="5">
        <v>16.8</v>
      </c>
    </row>
    <row r="23" spans="2:4" ht="12.75">
      <c r="B23" s="3" t="s">
        <v>75</v>
      </c>
      <c r="C23" s="5">
        <v>9.15</v>
      </c>
      <c r="D23" s="5">
        <v>15.25</v>
      </c>
    </row>
    <row r="24" spans="2:4" ht="12.75">
      <c r="B24" s="3" t="s">
        <v>76</v>
      </c>
      <c r="C24" s="5">
        <v>13.07</v>
      </c>
      <c r="D24" s="5">
        <v>18.96</v>
      </c>
    </row>
    <row r="25" spans="2:4" ht="12.75">
      <c r="B25" s="3" t="s">
        <v>86</v>
      </c>
      <c r="C25" s="5">
        <v>14</v>
      </c>
      <c r="D25" s="5">
        <v>11.5</v>
      </c>
    </row>
    <row r="26" spans="2:4" ht="12.75">
      <c r="B26" s="3" t="s">
        <v>77</v>
      </c>
      <c r="C26" s="5">
        <v>13.3</v>
      </c>
      <c r="D26" s="5">
        <v>17.7</v>
      </c>
    </row>
    <row r="27" spans="2:4" ht="12.75">
      <c r="B27" s="3" t="s">
        <v>47</v>
      </c>
      <c r="C27" s="5">
        <v>11.88</v>
      </c>
      <c r="D27" s="5">
        <v>10.09</v>
      </c>
    </row>
    <row r="28" spans="2:4" ht="12.75">
      <c r="B28" s="3" t="s">
        <v>44</v>
      </c>
      <c r="C28" s="5">
        <v>16.8</v>
      </c>
      <c r="D28" s="3">
        <v>24.84</v>
      </c>
    </row>
    <row r="29" spans="2:4" ht="12.75">
      <c r="B29" s="16" t="s">
        <v>139</v>
      </c>
      <c r="C29" s="24">
        <v>18</v>
      </c>
      <c r="D29" s="24">
        <v>14.57</v>
      </c>
    </row>
    <row r="30" spans="2:4" ht="12.75">
      <c r="B30" s="3" t="s">
        <v>33</v>
      </c>
      <c r="C30" s="5">
        <v>16.7</v>
      </c>
      <c r="D30" s="5">
        <v>21.1</v>
      </c>
    </row>
    <row r="31" spans="2:4" ht="12.75">
      <c r="B31" s="3" t="s">
        <v>34</v>
      </c>
      <c r="C31" s="5">
        <v>10.98</v>
      </c>
      <c r="D31" s="5">
        <v>13.43</v>
      </c>
    </row>
    <row r="32" spans="2:4" ht="12.75">
      <c r="B32" s="3" t="s">
        <v>122</v>
      </c>
      <c r="C32" s="5">
        <v>13.22</v>
      </c>
      <c r="D32" s="5">
        <v>25.43</v>
      </c>
    </row>
    <row r="33" spans="2:4" ht="12.75">
      <c r="B33" s="3" t="s">
        <v>133</v>
      </c>
      <c r="C33" s="5">
        <v>10.58</v>
      </c>
      <c r="D33" s="5">
        <v>19.93</v>
      </c>
    </row>
    <row r="34" spans="2:4" ht="12.75">
      <c r="B34" s="3" t="s">
        <v>71</v>
      </c>
      <c r="C34" s="5">
        <v>14.4</v>
      </c>
      <c r="D34" s="5">
        <v>18.5</v>
      </c>
    </row>
    <row r="35" spans="2:4" ht="12.75">
      <c r="B35" s="3" t="s">
        <v>36</v>
      </c>
      <c r="C35" s="5">
        <v>12</v>
      </c>
      <c r="D35" s="5">
        <v>15.6</v>
      </c>
    </row>
    <row r="36" spans="2:4" ht="12.75">
      <c r="B36" s="3" t="s">
        <v>37</v>
      </c>
      <c r="C36" s="5">
        <v>14.52</v>
      </c>
      <c r="D36" s="3">
        <v>17.88</v>
      </c>
    </row>
    <row r="37" spans="2:4" ht="12.75">
      <c r="B37" s="6"/>
      <c r="C37" s="4"/>
      <c r="D37" s="4"/>
    </row>
  </sheetData>
  <mergeCells count="2">
    <mergeCell ref="B1:D1"/>
    <mergeCell ref="B2:E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37"/>
  <sheetViews>
    <sheetView tabSelected="1" workbookViewId="0" topLeftCell="A1">
      <selection activeCell="G41" sqref="G41"/>
    </sheetView>
  </sheetViews>
  <sheetFormatPr defaultColWidth="9.140625" defaultRowHeight="12.75"/>
  <cols>
    <col min="1" max="1" width="20.421875" style="0" customWidth="1"/>
    <col min="2" max="2" width="6.57421875" style="0" customWidth="1"/>
    <col min="3" max="3" width="8.140625" style="0" customWidth="1"/>
  </cols>
  <sheetData>
    <row r="2" spans="1:3" ht="13.5" thickBot="1">
      <c r="A2" s="109" t="s">
        <v>93</v>
      </c>
      <c r="B2" s="109"/>
      <c r="C2" s="109"/>
    </row>
    <row r="3" spans="1:3" ht="12.75">
      <c r="A3" s="57"/>
      <c r="B3" s="51"/>
      <c r="C3" s="51"/>
    </row>
    <row r="4" spans="1:3" ht="13.5" thickBot="1">
      <c r="A4" s="58"/>
      <c r="B4" s="59" t="s">
        <v>118</v>
      </c>
      <c r="C4" s="59" t="s">
        <v>72</v>
      </c>
    </row>
    <row r="5" spans="1:3" ht="12.75">
      <c r="A5" s="106" t="s">
        <v>47</v>
      </c>
      <c r="B5" s="16">
        <v>21.97</v>
      </c>
      <c r="C5" s="16">
        <v>26.57</v>
      </c>
    </row>
    <row r="6" spans="1:3" ht="12.75">
      <c r="A6" s="3" t="s">
        <v>75</v>
      </c>
      <c r="B6" s="3">
        <v>24.4</v>
      </c>
      <c r="C6" s="3">
        <v>32.4</v>
      </c>
    </row>
    <row r="7" spans="1:3" ht="12.75">
      <c r="A7" s="3" t="s">
        <v>34</v>
      </c>
      <c r="B7" s="3">
        <v>24.41</v>
      </c>
      <c r="C7" s="3">
        <v>24.41</v>
      </c>
    </row>
    <row r="8" spans="1:3" ht="12.75">
      <c r="A8" s="3" t="s">
        <v>188</v>
      </c>
      <c r="B8" s="3">
        <v>24.95</v>
      </c>
      <c r="C8" s="3">
        <v>29.4</v>
      </c>
    </row>
    <row r="9" spans="1:3" ht="12.75">
      <c r="A9" s="3" t="s">
        <v>138</v>
      </c>
      <c r="B9" s="3">
        <v>25</v>
      </c>
      <c r="C9" s="3">
        <v>25</v>
      </c>
    </row>
    <row r="10" spans="1:3" ht="12.75">
      <c r="A10" s="3" t="s">
        <v>86</v>
      </c>
      <c r="B10" s="3">
        <v>25.5</v>
      </c>
      <c r="C10" s="3">
        <v>25.5</v>
      </c>
    </row>
    <row r="11" spans="1:3" ht="12.75">
      <c r="A11" s="3" t="s">
        <v>63</v>
      </c>
      <c r="B11" s="3">
        <v>26.87</v>
      </c>
      <c r="C11" s="3">
        <v>23.13</v>
      </c>
    </row>
    <row r="12" spans="1:3" ht="12.75">
      <c r="A12" s="3" t="s">
        <v>36</v>
      </c>
      <c r="B12" s="3">
        <v>27.6</v>
      </c>
      <c r="C12" s="3">
        <v>30</v>
      </c>
    </row>
    <row r="13" spans="1:3" ht="12.75">
      <c r="A13" s="3" t="s">
        <v>196</v>
      </c>
      <c r="B13" s="3">
        <v>29.28</v>
      </c>
      <c r="C13" s="3">
        <v>29.28</v>
      </c>
    </row>
    <row r="14" spans="1:3" ht="12.75">
      <c r="A14" s="3" t="s">
        <v>78</v>
      </c>
      <c r="B14" s="3">
        <v>29.47</v>
      </c>
      <c r="C14" s="3">
        <v>32.94</v>
      </c>
    </row>
    <row r="15" spans="1:3" ht="12.75">
      <c r="A15" s="3" t="s">
        <v>30</v>
      </c>
      <c r="B15" s="3">
        <v>29.78</v>
      </c>
      <c r="C15" s="3">
        <v>26.12</v>
      </c>
    </row>
    <row r="16" spans="1:3" ht="12.75">
      <c r="A16" s="3" t="s">
        <v>28</v>
      </c>
      <c r="B16" s="3">
        <v>29.84</v>
      </c>
      <c r="C16" s="3">
        <v>29.84</v>
      </c>
    </row>
    <row r="17" spans="1:3" ht="12.75">
      <c r="A17" s="3" t="s">
        <v>133</v>
      </c>
      <c r="B17" s="3">
        <v>30.51</v>
      </c>
      <c r="C17" s="3">
        <v>36.82</v>
      </c>
    </row>
    <row r="18" spans="1:3" ht="12.75">
      <c r="A18" s="3" t="s">
        <v>77</v>
      </c>
      <c r="B18" s="3">
        <v>31</v>
      </c>
      <c r="C18" s="3">
        <v>31</v>
      </c>
    </row>
    <row r="19" spans="1:3" ht="12.75">
      <c r="A19" s="89" t="s">
        <v>26</v>
      </c>
      <c r="B19" s="3">
        <v>31.68</v>
      </c>
      <c r="C19" s="3">
        <v>37.66</v>
      </c>
    </row>
    <row r="20" spans="1:3" ht="12.75">
      <c r="A20" s="3" t="s">
        <v>29</v>
      </c>
      <c r="B20" s="3">
        <v>31.73</v>
      </c>
      <c r="C20" s="3">
        <v>40.02</v>
      </c>
    </row>
    <row r="21" spans="1:3" ht="12.75">
      <c r="A21" s="3" t="s">
        <v>51</v>
      </c>
      <c r="B21" s="3">
        <v>31.84</v>
      </c>
      <c r="C21" s="3">
        <v>37.56</v>
      </c>
    </row>
    <row r="22" spans="1:3" ht="12.75">
      <c r="A22" s="3" t="s">
        <v>85</v>
      </c>
      <c r="B22" s="3">
        <v>32.03</v>
      </c>
      <c r="C22" s="3">
        <v>31.93</v>
      </c>
    </row>
    <row r="23" spans="1:3" ht="12.75">
      <c r="A23" s="3" t="s">
        <v>37</v>
      </c>
      <c r="B23" s="3">
        <v>32.4</v>
      </c>
      <c r="C23" s="3">
        <v>32.4</v>
      </c>
    </row>
    <row r="24" spans="1:3" ht="12.75">
      <c r="A24" s="3" t="s">
        <v>50</v>
      </c>
      <c r="B24" s="3">
        <v>32.57</v>
      </c>
      <c r="C24" s="3">
        <v>75.49</v>
      </c>
    </row>
    <row r="25" spans="1:3" ht="12.75">
      <c r="A25" s="3" t="s">
        <v>42</v>
      </c>
      <c r="B25" s="3">
        <v>32.64</v>
      </c>
      <c r="C25" s="3">
        <v>33.17</v>
      </c>
    </row>
    <row r="26" spans="1:3" ht="12.75">
      <c r="A26" s="3" t="s">
        <v>31</v>
      </c>
      <c r="B26" s="3">
        <v>32.87</v>
      </c>
      <c r="C26" s="3">
        <v>37.63</v>
      </c>
    </row>
    <row r="27" spans="1:3" ht="12.75">
      <c r="A27" s="3" t="s">
        <v>48</v>
      </c>
      <c r="B27" s="3">
        <v>32.9</v>
      </c>
      <c r="C27" s="3">
        <v>38.3</v>
      </c>
    </row>
    <row r="28" spans="1:3" ht="12.75">
      <c r="A28" s="3" t="s">
        <v>129</v>
      </c>
      <c r="B28" s="3">
        <v>33.6</v>
      </c>
      <c r="C28" s="3">
        <v>48</v>
      </c>
    </row>
    <row r="29" spans="1:3" ht="12.75">
      <c r="A29" s="3" t="s">
        <v>84</v>
      </c>
      <c r="B29" s="3">
        <v>34.88</v>
      </c>
      <c r="C29" s="3">
        <v>44.2</v>
      </c>
    </row>
    <row r="30" spans="1:3" ht="12.75">
      <c r="A30" s="3" t="s">
        <v>32</v>
      </c>
      <c r="B30" s="3">
        <v>35.43</v>
      </c>
      <c r="C30" s="3">
        <v>48.87</v>
      </c>
    </row>
    <row r="31" spans="1:3" ht="12.75">
      <c r="A31" s="3" t="s">
        <v>41</v>
      </c>
      <c r="B31" s="3">
        <v>36</v>
      </c>
      <c r="C31" s="3">
        <v>36</v>
      </c>
    </row>
    <row r="32" spans="1:3" ht="12.75">
      <c r="A32" s="3" t="s">
        <v>53</v>
      </c>
      <c r="B32" s="3">
        <v>36.3</v>
      </c>
      <c r="C32" s="3">
        <v>49.5</v>
      </c>
    </row>
    <row r="33" spans="1:3" ht="12.75">
      <c r="A33" s="3" t="s">
        <v>33</v>
      </c>
      <c r="B33" s="3">
        <v>37.8</v>
      </c>
      <c r="C33" s="3">
        <v>44.55</v>
      </c>
    </row>
    <row r="34" spans="1:3" ht="12.75">
      <c r="A34" s="3" t="s">
        <v>122</v>
      </c>
      <c r="B34" s="3">
        <v>38.65</v>
      </c>
      <c r="C34" s="3">
        <v>38.65</v>
      </c>
    </row>
    <row r="35" spans="1:3" ht="12.75">
      <c r="A35" s="3" t="s">
        <v>44</v>
      </c>
      <c r="B35" s="3">
        <v>41.64</v>
      </c>
      <c r="C35" s="3">
        <v>79.2</v>
      </c>
    </row>
    <row r="36" spans="1:3" ht="12.75">
      <c r="A36" s="3" t="s">
        <v>164</v>
      </c>
      <c r="B36" s="3">
        <v>48.13</v>
      </c>
      <c r="C36" s="3">
        <v>49.5</v>
      </c>
    </row>
    <row r="37" ht="12.75">
      <c r="A37" s="8"/>
    </row>
  </sheetData>
  <mergeCells count="1">
    <mergeCell ref="A2:C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EVEL</cp:lastModifiedBy>
  <cp:lastPrinted>2010-02-22T09:35:04Z</cp:lastPrinted>
  <dcterms:created xsi:type="dcterms:W3CDTF">1999-11-19T13:09:27Z</dcterms:created>
  <dcterms:modified xsi:type="dcterms:W3CDTF">2010-03-09T09:48:30Z</dcterms:modified>
  <cp:category/>
  <cp:version/>
  <cp:contentType/>
  <cp:contentStatus/>
</cp:coreProperties>
</file>