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545" tabRatio="633" firstSheet="1" activeTab="1"/>
  </bookViews>
  <sheets>
    <sheet name="Kokkuvõte" sheetId="1" state="hidden" r:id="rId1"/>
    <sheet name="Kokkuvote" sheetId="2" r:id="rId2"/>
    <sheet name="Veehind abonenttasuga" sheetId="3" r:id="rId3"/>
    <sheet name="Veeteenused elanikkonnale" sheetId="4" r:id="rId4"/>
    <sheet name="Veeteenused ettevõtetele" sheetId="5" r:id="rId5"/>
    <sheet name="Elanikkonnale" sheetId="6" r:id="rId6"/>
    <sheet name="Ettevõtetele" sheetId="7" r:id="rId7"/>
    <sheet name="Müügitulu" sheetId="8" r:id="rId8"/>
    <sheet name="1m3 tulu" sheetId="9" r:id="rId9"/>
    <sheet name="Graafik" sheetId="10" r:id="rId10"/>
  </sheets>
  <definedNames>
    <definedName name="Prindiala" localSheetId="8">'1m3 tulu'!$A$1:$E$44</definedName>
    <definedName name="Prindiala" localSheetId="5">'Elanikkonnale'!$A$1:$E$52</definedName>
    <definedName name="Prindiala" localSheetId="6">'Ettevõtetele'!$A$1:$E$48</definedName>
    <definedName name="Prindiala" localSheetId="7">'Müügitulu'!$A$1:$O$52</definedName>
    <definedName name="Prindiala" localSheetId="2">'Veehind abonenttasuga'!$A$1:$N$52</definedName>
    <definedName name="Prindiala" localSheetId="3">'Veeteenused elanikkonnale'!$A$1:$I$48</definedName>
    <definedName name="Prindiala" localSheetId="4">'Veeteenused ettevõtetele'!$A$1:$K$47</definedName>
    <definedName name="Prindiala_2">'Veeteenused ettevõtetele'!$A$1:$H$47</definedName>
    <definedName name="Prindiala_4">#REF!</definedName>
    <definedName name="Prindiala_5">#REF!</definedName>
    <definedName name="Prindiala_8">#REF!</definedName>
  </definedNames>
  <calcPr fullCalcOnLoad="1"/>
</workbook>
</file>

<file path=xl/comments4.xml><?xml version="1.0" encoding="utf-8"?>
<comments xmlns="http://schemas.openxmlformats.org/spreadsheetml/2006/main">
  <authors>
    <author>dell</author>
  </authors>
  <commentList>
    <comment ref="E3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0,30 ja puhastamine 1,16</t>
        </r>
      </text>
    </comment>
    <comment ref="H3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0,30 ja puhastamine 1,16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D31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0,49 ja puhastamine 1.16</t>
        </r>
      </text>
    </comment>
    <comment ref="G31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0,49 ja puhastamine 1.16</t>
        </r>
      </text>
    </comment>
  </commentList>
</comments>
</file>

<file path=xl/sharedStrings.xml><?xml version="1.0" encoding="utf-8"?>
<sst xmlns="http://schemas.openxmlformats.org/spreadsheetml/2006/main" count="678" uniqueCount="201">
  <si>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</si>
  <si>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TABEL 1</t>
  </si>
  <si>
    <t>Veeteenus</t>
  </si>
  <si>
    <t>Kanal.</t>
  </si>
  <si>
    <t>Veeteen.</t>
  </si>
  <si>
    <t>Kanal.teen.</t>
  </si>
  <si>
    <t>Abonenttasu</t>
  </si>
  <si>
    <t xml:space="preserve">Teenindatav </t>
  </si>
  <si>
    <t>teenus</t>
  </si>
  <si>
    <t>saadud tulu</t>
  </si>
  <si>
    <t>ühele</t>
  </si>
  <si>
    <t>Ettevõtted</t>
  </si>
  <si>
    <t>piirkond</t>
  </si>
  <si>
    <t>abonent-</t>
  </si>
  <si>
    <r>
      <t>m</t>
    </r>
    <r>
      <rPr>
        <vertAlign val="superscript"/>
        <sz val="8"/>
        <rFont val="Arial"/>
        <family val="2"/>
      </rPr>
      <t>3</t>
    </r>
  </si>
  <si>
    <r>
      <t>tuh m</t>
    </r>
    <r>
      <rPr>
        <vertAlign val="superscript"/>
        <sz val="8"/>
        <rFont val="Arial"/>
        <family val="2"/>
      </rPr>
      <t>3</t>
    </r>
  </si>
  <si>
    <t>tasust</t>
  </si>
  <si>
    <t>veeteenus</t>
  </si>
  <si>
    <t>kanal.teen.</t>
  </si>
  <si>
    <t>veeteenue</t>
  </si>
  <si>
    <t>€</t>
  </si>
  <si>
    <t>elanikkond</t>
  </si>
  <si>
    <t>asutused</t>
  </si>
  <si>
    <t>Haapsalu</t>
  </si>
  <si>
    <t>Karksi-Nuia</t>
  </si>
  <si>
    <t>Emajõe Veevärk AS</t>
  </si>
  <si>
    <t>Jõgeva Veevärk OÜ</t>
  </si>
  <si>
    <t>Järvakandi Komm.OÜ</t>
  </si>
  <si>
    <t>Järvakandi</t>
  </si>
  <si>
    <t>Järve Biopuhastus OÜ</t>
  </si>
  <si>
    <t>Ida-Virumaa</t>
  </si>
  <si>
    <t>Kadrina Soojus AS</t>
  </si>
  <si>
    <t>Kadrina</t>
  </si>
  <si>
    <t>Keila Vesi AS</t>
  </si>
  <si>
    <t>Kiviõli Vesi OÜ</t>
  </si>
  <si>
    <t>Kohila Maja OÜ</t>
  </si>
  <si>
    <t>Kohila</t>
  </si>
  <si>
    <t>Kose Vesi OÜ</t>
  </si>
  <si>
    <t>Kose</t>
  </si>
  <si>
    <t>Kuressaare Veevärk AS</t>
  </si>
  <si>
    <t>Kuressaare</t>
  </si>
  <si>
    <t>Kärdla Veevärk AS</t>
  </si>
  <si>
    <t>Lahevesi AS</t>
  </si>
  <si>
    <t>Matsalu Veevärk AS</t>
  </si>
  <si>
    <t>Põltsamaa Varahalduse OÜ</t>
  </si>
  <si>
    <t>Paide Vesi AS</t>
  </si>
  <si>
    <t>Paide</t>
  </si>
  <si>
    <t>Paldiski</t>
  </si>
  <si>
    <t>Põlva Vesi  AS</t>
  </si>
  <si>
    <t>Pärnu Vesi AS</t>
  </si>
  <si>
    <t>Rakvere Vesi AS</t>
  </si>
  <si>
    <t>Rakvere</t>
  </si>
  <si>
    <t>Rapla Vesi AS</t>
  </si>
  <si>
    <t>Sillamäe Veevärk AS</t>
  </si>
  <si>
    <t>Sillamäe</t>
  </si>
  <si>
    <t>Tabasalu</t>
  </si>
  <si>
    <t>Saku Maja AS</t>
  </si>
  <si>
    <t>Tallinna Vesi AS</t>
  </si>
  <si>
    <t>Tallinn</t>
  </si>
  <si>
    <t>Tapa</t>
  </si>
  <si>
    <t>Tartu Veevärk AS</t>
  </si>
  <si>
    <t>Tartu</t>
  </si>
  <si>
    <t>Tõrva</t>
  </si>
  <si>
    <t>Türi Vesi OÜ</t>
  </si>
  <si>
    <t>Valga Vesi AS</t>
  </si>
  <si>
    <t>Valga</t>
  </si>
  <si>
    <t>Viljandi Veevärk AS</t>
  </si>
  <si>
    <t>Viljandi</t>
  </si>
  <si>
    <t>Vändra MP OÜ</t>
  </si>
  <si>
    <t>Vändra</t>
  </si>
  <si>
    <t>VEETEENUSTE HIND ETTEVÕTETELE                     TABEL 3</t>
  </si>
  <si>
    <t>TARIIFID</t>
  </si>
  <si>
    <t>Vesi (tariif)</t>
  </si>
  <si>
    <t>Kanal.(tariif)</t>
  </si>
  <si>
    <t>Vesi+kanal</t>
  </si>
  <si>
    <t>VESI</t>
  </si>
  <si>
    <t>KANALISATSIOON</t>
  </si>
  <si>
    <t>VEE HIND</t>
  </si>
  <si>
    <t>Teenindatav</t>
  </si>
  <si>
    <t>+</t>
  </si>
  <si>
    <t>vesi+</t>
  </si>
  <si>
    <t>KANAL.</t>
  </si>
  <si>
    <t>vesi+kanal.</t>
  </si>
  <si>
    <t>abonentt.</t>
  </si>
  <si>
    <t>tasuga</t>
  </si>
  <si>
    <t>kanal</t>
  </si>
  <si>
    <r>
      <t>€/m</t>
    </r>
    <r>
      <rPr>
        <vertAlign val="superscript"/>
        <sz val="8"/>
        <rFont val="Arial"/>
        <family val="2"/>
      </rPr>
      <t>3</t>
    </r>
  </si>
  <si>
    <r>
      <t>kr/m</t>
    </r>
    <r>
      <rPr>
        <vertAlign val="superscript"/>
        <sz val="8"/>
        <rFont val="Arial"/>
        <family val="2"/>
      </rPr>
      <t>3</t>
    </r>
  </si>
  <si>
    <t xml:space="preserve">Kiviõli </t>
  </si>
  <si>
    <t>Paldiski Linnahoolduse  OÜ</t>
  </si>
  <si>
    <t xml:space="preserve"> </t>
  </si>
  <si>
    <t>Strantum OÜ</t>
  </si>
  <si>
    <t>VEETEENUSTE HIND ELANIKKONNALE (käibemaksuga)                      TABEL 2</t>
  </si>
  <si>
    <t>Kanal.(tarrif)</t>
  </si>
  <si>
    <t>Keila vald</t>
  </si>
  <si>
    <t>Iivakivi AS</t>
  </si>
  <si>
    <t>VEETEENUSTE HIND ETTEVÕTETELE</t>
  </si>
  <si>
    <t>Vesi</t>
  </si>
  <si>
    <t>Elanikk.</t>
  </si>
  <si>
    <t>Asutustele</t>
  </si>
  <si>
    <t>KESKMINE</t>
  </si>
  <si>
    <r>
      <t>Müüdud  (tuh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</si>
  <si>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Vesi+kanal kokku</t>
  </si>
  <si>
    <t>Vee-ettevõtja</t>
  </si>
  <si>
    <t>Kanal</t>
  </si>
  <si>
    <t>Elanik.</t>
  </si>
  <si>
    <t>Asutused</t>
  </si>
  <si>
    <t>Elanikk</t>
  </si>
  <si>
    <t>VEETEENUSTE HIND</t>
  </si>
  <si>
    <t>Elanikele</t>
  </si>
  <si>
    <t>Saku</t>
  </si>
  <si>
    <t>Vihula valla Veevärk OÜ</t>
  </si>
  <si>
    <t>Kiili KVH OÜ</t>
  </si>
  <si>
    <t>Kiili</t>
  </si>
  <si>
    <t>Jõgeva vald</t>
  </si>
  <si>
    <t>Rae vald</t>
  </si>
  <si>
    <t>Viimsi vald</t>
  </si>
  <si>
    <t>Vihula vald</t>
  </si>
  <si>
    <r>
      <t>€/m</t>
    </r>
    <r>
      <rPr>
        <vertAlign val="superscript"/>
        <sz val="8"/>
        <color indexed="8"/>
        <rFont val="Arial"/>
        <family val="2"/>
      </rPr>
      <t>3</t>
    </r>
  </si>
  <si>
    <r>
      <t>€r/m</t>
    </r>
    <r>
      <rPr>
        <vertAlign val="superscript"/>
        <sz val="8"/>
        <color indexed="8"/>
        <rFont val="Arial"/>
        <family val="2"/>
      </rPr>
      <t>3</t>
    </r>
  </si>
  <si>
    <r>
      <t>kr/m</t>
    </r>
    <r>
      <rPr>
        <vertAlign val="superscript"/>
        <sz val="8"/>
        <color indexed="8"/>
        <rFont val="Arial"/>
        <family val="2"/>
      </rPr>
      <t>3</t>
    </r>
  </si>
  <si>
    <t>tuh.€</t>
  </si>
  <si>
    <t>€/m3</t>
  </si>
  <si>
    <t>Veeteenustest saadud tulu (tuh €)</t>
  </si>
  <si>
    <r>
      <t xml:space="preserve"> Veeteenustest saadud tulu (€) 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kohta</t>
    </r>
  </si>
  <si>
    <r>
      <t>€/m</t>
    </r>
    <r>
      <rPr>
        <vertAlign val="superscript"/>
        <sz val="9"/>
        <rFont val="Arial"/>
        <family val="2"/>
      </rPr>
      <t>3</t>
    </r>
  </si>
  <si>
    <t xml:space="preserve">Kokku </t>
  </si>
  <si>
    <t>Keskmine</t>
  </si>
  <si>
    <t xml:space="preserve">     TULU 1m3 VEETEENUSTE MÜÜGIST</t>
  </si>
  <si>
    <t>VEETEENUSTE HIND ELANIKKONNALE</t>
  </si>
  <si>
    <t>käibemaksuga</t>
  </si>
  <si>
    <t xml:space="preserve">Rapla </t>
  </si>
  <si>
    <t>Türi vald</t>
  </si>
  <si>
    <t>Veeteenuste müügist saadud keskmine tulu (käibemaksuta) 1 m3 kohta on:</t>
  </si>
  <si>
    <t xml:space="preserve">Vee hind tabelites 2 ja 3 ning joonis (1-3) on kehtestatud tariifid koos käibemaksuga, millele on lisatud arvutuslik abonenttasu. 
See on tegelik hind, mida maksavad erinevad tarbijagrupid. </t>
  </si>
  <si>
    <t>Arvutuslik abonenttasu (tabel 1) 1m3 veeteenuste kohta on abonenttasust saadud tulu jagatud vastavat realiseeritud vee või 
kanaliseeritud vee kogusega. Tulemus (käibemaks lisatud) on liidetud tabel 2 (elanikkonnale) ja tabel 3 (ettevõtetele) tariifidele.</t>
  </si>
  <si>
    <t>seisuga 31.12.2011    0,99€/m3          1,34€/m3</t>
  </si>
  <si>
    <t>seisuga 01.01.2011    0,92€/m3          1,32€/m3</t>
  </si>
  <si>
    <t>seisuga 01.01.2010    0,85€/m3          1,17€/m3</t>
  </si>
  <si>
    <t>seisuga 01.01.2009    0,80€/m3          1,09€/m3</t>
  </si>
  <si>
    <t xml:space="preserve">                                Vesi                 Kanalisatsioon</t>
  </si>
  <si>
    <t>seisuga 31.12.2011    1,16 €/m3     1,56 €/m3</t>
  </si>
  <si>
    <t xml:space="preserve">                                 Vesi            Kanalisatsioon</t>
  </si>
  <si>
    <t>seisuga 01.01.2011    1,03 €/m3     1,45 €/m3</t>
  </si>
  <si>
    <t>seisuga 01.01.2010    0,01 €/m3     1,38 €/m3</t>
  </si>
  <si>
    <t>seisuga 01.01.2009    0,98 €/m3     1,34 €/m3</t>
  </si>
  <si>
    <t>seisuga 01.01.2010    1,78 €/m3     2,10 €/m3</t>
  </si>
  <si>
    <t>seisuga 01.01.2009    1,66 €/m3     2,06 €/m3</t>
  </si>
  <si>
    <t>seisuga 01.01.2008    1,50 €/m3     1,88 €/m3</t>
  </si>
  <si>
    <t>seisuga 31.12.2011    1,86 €/m3     2,21 €/m3</t>
  </si>
  <si>
    <r>
      <t xml:space="preserve">Tabelis </t>
    </r>
    <r>
      <rPr>
        <b/>
        <sz val="10"/>
        <rFont val="Arial"/>
        <family val="2"/>
      </rPr>
      <t>„Veeteenuste hind elanikkonnale“</t>
    </r>
    <r>
      <rPr>
        <sz val="10"/>
        <rFont val="Arial"/>
        <family val="2"/>
      </rPr>
      <t xml:space="preserve"> esitatud ettevõtete keskmine veeteenuse hind elanikkonnale on:</t>
    </r>
  </si>
  <si>
    <r>
      <t xml:space="preserve">Tabelis </t>
    </r>
    <r>
      <rPr>
        <b/>
        <sz val="10"/>
        <rFont val="Arial"/>
        <family val="2"/>
      </rPr>
      <t xml:space="preserve">„Veeteenuste hind ettevõtetele“ </t>
    </r>
    <r>
      <rPr>
        <sz val="10"/>
        <rFont val="Arial"/>
        <family val="2"/>
      </rPr>
      <t>esitatud ettevõtete keskmine veeteenuse hind asutustele on:</t>
    </r>
  </si>
  <si>
    <t>Elveso AS</t>
  </si>
  <si>
    <t>Haapsalu Veevärk AS</t>
  </si>
  <si>
    <t>Kuremaa ENVEKO AS</t>
  </si>
  <si>
    <t>Tapa Vesi OÜ</t>
  </si>
  <si>
    <t>Tõrva Veejõud OÜ</t>
  </si>
  <si>
    <t>Viimsi Vesi AS</t>
  </si>
  <si>
    <t>Tallinna lähiümbrus</t>
  </si>
  <si>
    <t xml:space="preserve">Jõgeva </t>
  </si>
  <si>
    <t xml:space="preserve">Kärdla </t>
  </si>
  <si>
    <t xml:space="preserve">Keila </t>
  </si>
  <si>
    <t xml:space="preserve">Põltsamaa </t>
  </si>
  <si>
    <t>Põva</t>
  </si>
  <si>
    <t>Vee hind seisuga 30.06.2012</t>
  </si>
  <si>
    <t>Kuressaare, keskmistatud hind</t>
  </si>
  <si>
    <r>
      <t xml:space="preserve">Kuressaare, </t>
    </r>
    <r>
      <rPr>
        <sz val="5"/>
        <color indexed="8"/>
        <rFont val="Arial"/>
        <family val="2"/>
      </rPr>
      <t>keskmistatud hind</t>
    </r>
  </si>
  <si>
    <t>Viimsi vald, keskmistatud hind</t>
  </si>
  <si>
    <r>
      <t>Viimsi vald,</t>
    </r>
    <r>
      <rPr>
        <sz val="5"/>
        <color indexed="8"/>
        <rFont val="Arial"/>
        <family val="2"/>
      </rPr>
      <t xml:space="preserve"> keskmistatud hind</t>
    </r>
  </si>
  <si>
    <r>
      <t xml:space="preserve">Paide, </t>
    </r>
    <r>
      <rPr>
        <sz val="6"/>
        <color indexed="8"/>
        <rFont val="Arial"/>
        <family val="2"/>
      </rPr>
      <t>keskmistatud hind</t>
    </r>
  </si>
  <si>
    <t>Pärnu linna hind</t>
  </si>
  <si>
    <t>510, 002</t>
  </si>
  <si>
    <t>* vesi+kanal abonenttasuga</t>
  </si>
  <si>
    <r>
      <t>VEETEENUSTE MÜÜGIST SAADUD TULU (käibemaksuta)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KOHTA  (eurot)   2012. a                              TABEL 4</t>
    </r>
  </si>
  <si>
    <r>
      <t>seisuga 31.12.2012.a  (käibemaksuga)    €/m</t>
    </r>
    <r>
      <rPr>
        <vertAlign val="superscript"/>
        <sz val="10"/>
        <rFont val="Arial"/>
        <family val="2"/>
      </rPr>
      <t xml:space="preserve">3            </t>
    </r>
  </si>
  <si>
    <t>seisuga 31.12.2012.a</t>
  </si>
  <si>
    <t>Esmar Ehitus AS +Vesi OÜ</t>
  </si>
  <si>
    <t>Esmar Ehitus+Vesi</t>
  </si>
  <si>
    <t>Esmar Ehitus +Vesi</t>
  </si>
  <si>
    <t>Esmar Ehitus + Vesi</t>
  </si>
  <si>
    <t>Esmar Ehitus AS + Vesi OÜ</t>
  </si>
  <si>
    <t>Velko AV OÜ</t>
  </si>
  <si>
    <t>Velko AV AS</t>
  </si>
  <si>
    <r>
      <t>Haapsalu (</t>
    </r>
    <r>
      <rPr>
        <sz val="5"/>
        <rFont val="Arial"/>
        <family val="2"/>
      </rPr>
      <t>keskmistatud hind</t>
    </r>
    <r>
      <rPr>
        <sz val="7"/>
        <rFont val="Arial"/>
        <family val="2"/>
      </rPr>
      <t>)</t>
    </r>
  </si>
  <si>
    <r>
      <t xml:space="preserve">Haapsalu </t>
    </r>
    <r>
      <rPr>
        <sz val="6"/>
        <rFont val="Arial"/>
        <family val="2"/>
      </rPr>
      <t>(keskmistatud hind)</t>
    </r>
  </si>
  <si>
    <t>Kiviõli (keskmistatud hind)</t>
  </si>
  <si>
    <t>Paide (keskmistatuhind)</t>
  </si>
  <si>
    <t>Kärdla (keskmistatud hind)</t>
  </si>
  <si>
    <t>* Kuremaa ENVEKO (eraldi arvestust välja ei jookse)</t>
  </si>
  <si>
    <t>Veetarbimine 85,768 m3</t>
  </si>
  <si>
    <t>Heitvee ärajuhtimine 66,446 m3</t>
  </si>
  <si>
    <t>Müügitulu Vesi 98,753€ Kanal 96,007€</t>
  </si>
  <si>
    <t>eraldi arvestust välja ei jookse</t>
  </si>
  <si>
    <t>Abonenttasude arvelt saadud müügitulu Vesi 5907€</t>
  </si>
  <si>
    <t>Abonenttasude arvelt saadud müügitulu Vesi 5907 €</t>
  </si>
  <si>
    <t xml:space="preserve">Esmar Ehitus + Vesi </t>
  </si>
  <si>
    <t>Vee hind seisuga 31.12.2012</t>
  </si>
  <si>
    <t>seisuga 31.12.2012    1,17 €/m3     1,63 €/m3</t>
  </si>
  <si>
    <t>Pärnu + naabervallad</t>
  </si>
  <si>
    <t>seisuga 31.12.2012    1,08€/m3          1,46€/m3</t>
  </si>
  <si>
    <t>seisuga 31.12.2012    1,98 €/m3     2,22€/m3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</si>
</sst>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54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7" borderId="2" applyNumberFormat="0" applyAlignment="0" applyProtection="0"/>
    <xf numFmtId="0" fontId="5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43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6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70" fillId="38" borderId="18" applyNumberFormat="0" applyAlignment="0" applyProtection="0"/>
  </cellStyleXfs>
  <cellXfs count="24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2" fontId="20" fillId="55" borderId="23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2" fontId="20" fillId="55" borderId="23" xfId="0" applyNumberFormat="1" applyFont="1" applyFill="1" applyBorder="1" applyAlignment="1">
      <alignment horizontal="center"/>
    </xf>
    <xf numFmtId="2" fontId="31" fillId="55" borderId="24" xfId="0" applyNumberFormat="1" applyFont="1" applyFill="1" applyBorder="1" applyAlignment="1">
      <alignment/>
    </xf>
    <xf numFmtId="2" fontId="31" fillId="55" borderId="23" xfId="0" applyNumberFormat="1" applyFont="1" applyFill="1" applyBorder="1" applyAlignment="1">
      <alignment/>
    </xf>
    <xf numFmtId="0" fontId="33" fillId="55" borderId="0" xfId="0" applyFont="1" applyFill="1" applyAlignment="1">
      <alignment/>
    </xf>
    <xf numFmtId="2" fontId="20" fillId="55" borderId="24" xfId="0" applyNumberFormat="1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31" fillId="55" borderId="25" xfId="0" applyFont="1" applyFill="1" applyBorder="1" applyAlignment="1">
      <alignment horizontal="right"/>
    </xf>
    <xf numFmtId="0" fontId="20" fillId="55" borderId="25" xfId="0" applyFont="1" applyFill="1" applyBorder="1" applyAlignment="1">
      <alignment horizontal="right"/>
    </xf>
    <xf numFmtId="2" fontId="20" fillId="55" borderId="25" xfId="0" applyNumberFormat="1" applyFont="1" applyFill="1" applyBorder="1" applyAlignment="1">
      <alignment horizontal="right"/>
    </xf>
    <xf numFmtId="0" fontId="18" fillId="55" borderId="26" xfId="0" applyFont="1" applyFill="1" applyBorder="1" applyAlignment="1">
      <alignment/>
    </xf>
    <xf numFmtId="2" fontId="18" fillId="55" borderId="27" xfId="0" applyNumberFormat="1" applyFont="1" applyFill="1" applyBorder="1" applyAlignment="1">
      <alignment/>
    </xf>
    <xf numFmtId="2" fontId="18" fillId="55" borderId="28" xfId="0" applyNumberFormat="1" applyFont="1" applyFill="1" applyBorder="1" applyAlignment="1">
      <alignment/>
    </xf>
    <xf numFmtId="0" fontId="20" fillId="4" borderId="25" xfId="0" applyFont="1" applyFill="1" applyBorder="1" applyAlignment="1">
      <alignment horizontal="center"/>
    </xf>
    <xf numFmtId="0" fontId="20" fillId="4" borderId="25" xfId="0" applyFont="1" applyFill="1" applyBorder="1" applyAlignment="1">
      <alignment/>
    </xf>
    <xf numFmtId="0" fontId="31" fillId="55" borderId="25" xfId="0" applyFont="1" applyFill="1" applyBorder="1" applyAlignment="1">
      <alignment/>
    </xf>
    <xf numFmtId="2" fontId="31" fillId="55" borderId="25" xfId="0" applyNumberFormat="1" applyFont="1" applyFill="1" applyBorder="1" applyAlignment="1">
      <alignment horizontal="right"/>
    </xf>
    <xf numFmtId="2" fontId="26" fillId="55" borderId="23" xfId="0" applyNumberFormat="1" applyFont="1" applyFill="1" applyBorder="1" applyAlignment="1">
      <alignment/>
    </xf>
    <xf numFmtId="2" fontId="27" fillId="55" borderId="23" xfId="0" applyNumberFormat="1" applyFont="1" applyFill="1" applyBorder="1" applyAlignment="1">
      <alignment/>
    </xf>
    <xf numFmtId="2" fontId="26" fillId="55" borderId="29" xfId="0" applyNumberFormat="1" applyFont="1" applyFill="1" applyBorder="1" applyAlignment="1">
      <alignment/>
    </xf>
    <xf numFmtId="0" fontId="0" fillId="55" borderId="0" xfId="0" applyFill="1" applyAlignment="1">
      <alignment/>
    </xf>
    <xf numFmtId="0" fontId="0" fillId="0" borderId="25" xfId="0" applyBorder="1" applyAlignment="1">
      <alignment/>
    </xf>
    <xf numFmtId="2" fontId="26" fillId="55" borderId="30" xfId="0" applyNumberFormat="1" applyFont="1" applyFill="1" applyBorder="1" applyAlignment="1">
      <alignment/>
    </xf>
    <xf numFmtId="2" fontId="26" fillId="55" borderId="23" xfId="0" applyNumberFormat="1" applyFont="1" applyFill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24" fillId="0" borderId="32" xfId="0" applyNumberFormat="1" applyFont="1" applyBorder="1" applyAlignment="1">
      <alignment/>
    </xf>
    <xf numFmtId="2" fontId="24" fillId="0" borderId="33" xfId="0" applyNumberFormat="1" applyFont="1" applyBorder="1" applyAlignment="1">
      <alignment/>
    </xf>
    <xf numFmtId="0" fontId="18" fillId="55" borderId="25" xfId="0" applyFont="1" applyFill="1" applyBorder="1" applyAlignment="1">
      <alignment horizontal="right"/>
    </xf>
    <xf numFmtId="2" fontId="20" fillId="55" borderId="34" xfId="0" applyNumberFormat="1" applyFont="1" applyFill="1" applyBorder="1" applyAlignment="1">
      <alignment/>
    </xf>
    <xf numFmtId="2" fontId="20" fillId="55" borderId="35" xfId="0" applyNumberFormat="1" applyFont="1" applyFill="1" applyBorder="1" applyAlignment="1">
      <alignment/>
    </xf>
    <xf numFmtId="0" fontId="23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0" fontId="24" fillId="55" borderId="0" xfId="0" applyFont="1" applyFill="1" applyAlignment="1">
      <alignment horizontal="center"/>
    </xf>
    <xf numFmtId="0" fontId="18" fillId="55" borderId="0" xfId="0" applyFont="1" applyFill="1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/>
    </xf>
    <xf numFmtId="0" fontId="29" fillId="55" borderId="0" xfId="0" applyFont="1" applyFill="1" applyBorder="1" applyAlignment="1">
      <alignment/>
    </xf>
    <xf numFmtId="0" fontId="33" fillId="55" borderId="0" xfId="0" applyFont="1" applyFill="1" applyAlignment="1">
      <alignment horizontal="center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horizontal="center"/>
    </xf>
    <xf numFmtId="0" fontId="31" fillId="55" borderId="36" xfId="0" applyFont="1" applyFill="1" applyBorder="1" applyAlignment="1">
      <alignment horizontal="center"/>
    </xf>
    <xf numFmtId="0" fontId="31" fillId="55" borderId="37" xfId="0" applyFont="1" applyFill="1" applyBorder="1" applyAlignment="1">
      <alignment horizontal="center"/>
    </xf>
    <xf numFmtId="0" fontId="31" fillId="55" borderId="36" xfId="0" applyFont="1" applyFill="1" applyBorder="1" applyAlignment="1">
      <alignment/>
    </xf>
    <xf numFmtId="0" fontId="31" fillId="55" borderId="0" xfId="0" applyFont="1" applyFill="1" applyBorder="1" applyAlignment="1">
      <alignment/>
    </xf>
    <xf numFmtId="0" fontId="31" fillId="55" borderId="30" xfId="0" applyFont="1" applyFill="1" applyBorder="1" applyAlignment="1">
      <alignment/>
    </xf>
    <xf numFmtId="0" fontId="31" fillId="55" borderId="0" xfId="0" applyFont="1" applyFill="1" applyBorder="1" applyAlignment="1">
      <alignment horizontal="center"/>
    </xf>
    <xf numFmtId="0" fontId="31" fillId="55" borderId="38" xfId="0" applyFont="1" applyFill="1" applyBorder="1" applyAlignment="1">
      <alignment horizontal="center"/>
    </xf>
    <xf numFmtId="0" fontId="31" fillId="55" borderId="39" xfId="0" applyFont="1" applyFill="1" applyBorder="1" applyAlignment="1">
      <alignment horizontal="center"/>
    </xf>
    <xf numFmtId="0" fontId="31" fillId="55" borderId="23" xfId="0" applyFont="1" applyFill="1" applyBorder="1" applyAlignment="1">
      <alignment/>
    </xf>
    <xf numFmtId="0" fontId="26" fillId="10" borderId="40" xfId="0" applyFont="1" applyFill="1" applyBorder="1" applyAlignment="1">
      <alignment/>
    </xf>
    <xf numFmtId="0" fontId="26" fillId="10" borderId="41" xfId="0" applyFont="1" applyFill="1" applyBorder="1" applyAlignment="1">
      <alignment horizontal="left"/>
    </xf>
    <xf numFmtId="0" fontId="26" fillId="10" borderId="42" xfId="0" applyFont="1" applyFill="1" applyBorder="1" applyAlignment="1">
      <alignment/>
    </xf>
    <xf numFmtId="0" fontId="0" fillId="10" borderId="0" xfId="0" applyFont="1" applyFill="1" applyAlignment="1">
      <alignment/>
    </xf>
    <xf numFmtId="0" fontId="26" fillId="10" borderId="30" xfId="0" applyFont="1" applyFill="1" applyBorder="1" applyAlignment="1">
      <alignment/>
    </xf>
    <xf numFmtId="0" fontId="26" fillId="10" borderId="34" xfId="0" applyFont="1" applyFill="1" applyBorder="1" applyAlignment="1">
      <alignment/>
    </xf>
    <xf numFmtId="0" fontId="26" fillId="10" borderId="23" xfId="0" applyFont="1" applyFill="1" applyBorder="1" applyAlignment="1">
      <alignment/>
    </xf>
    <xf numFmtId="0" fontId="18" fillId="55" borderId="43" xfId="0" applyFont="1" applyFill="1" applyBorder="1" applyAlignment="1">
      <alignment/>
    </xf>
    <xf numFmtId="0" fontId="20" fillId="56" borderId="44" xfId="0" applyFont="1" applyFill="1" applyBorder="1" applyAlignment="1">
      <alignment/>
    </xf>
    <xf numFmtId="0" fontId="20" fillId="56" borderId="45" xfId="0" applyFont="1" applyFill="1" applyBorder="1" applyAlignment="1">
      <alignment/>
    </xf>
    <xf numFmtId="0" fontId="20" fillId="56" borderId="37" xfId="0" applyFont="1" applyFill="1" applyBorder="1" applyAlignment="1">
      <alignment horizontal="center"/>
    </xf>
    <xf numFmtId="0" fontId="20" fillId="56" borderId="37" xfId="0" applyFont="1" applyFill="1" applyBorder="1" applyAlignment="1">
      <alignment horizontal="right"/>
    </xf>
    <xf numFmtId="0" fontId="20" fillId="56" borderId="45" xfId="0" applyFont="1" applyFill="1" applyBorder="1" applyAlignment="1">
      <alignment horizontal="center"/>
    </xf>
    <xf numFmtId="0" fontId="20" fillId="56" borderId="46" xfId="0" applyFont="1" applyFill="1" applyBorder="1" applyAlignment="1">
      <alignment horizontal="center"/>
    </xf>
    <xf numFmtId="0" fontId="20" fillId="56" borderId="47" xfId="0" applyFont="1" applyFill="1" applyBorder="1" applyAlignment="1">
      <alignment/>
    </xf>
    <xf numFmtId="0" fontId="20" fillId="56" borderId="48" xfId="0" applyFont="1" applyFill="1" applyBorder="1" applyAlignment="1">
      <alignment horizontal="center"/>
    </xf>
    <xf numFmtId="0" fontId="20" fillId="56" borderId="30" xfId="0" applyFont="1" applyFill="1" applyBorder="1" applyAlignment="1">
      <alignment horizontal="center"/>
    </xf>
    <xf numFmtId="0" fontId="20" fillId="56" borderId="49" xfId="0" applyFont="1" applyFill="1" applyBorder="1" applyAlignment="1">
      <alignment horizontal="center"/>
    </xf>
    <xf numFmtId="0" fontId="20" fillId="56" borderId="47" xfId="0" applyFont="1" applyFill="1" applyBorder="1" applyAlignment="1">
      <alignment horizontal="center"/>
    </xf>
    <xf numFmtId="0" fontId="20" fillId="56" borderId="48" xfId="0" applyFont="1" applyFill="1" applyBorder="1" applyAlignment="1">
      <alignment/>
    </xf>
    <xf numFmtId="0" fontId="20" fillId="56" borderId="50" xfId="0" applyFont="1" applyFill="1" applyBorder="1" applyAlignment="1">
      <alignment/>
    </xf>
    <xf numFmtId="0" fontId="20" fillId="56" borderId="51" xfId="0" applyFont="1" applyFill="1" applyBorder="1" applyAlignment="1">
      <alignment/>
    </xf>
    <xf numFmtId="0" fontId="20" fillId="56" borderId="34" xfId="0" applyFont="1" applyFill="1" applyBorder="1" applyAlignment="1">
      <alignment horizontal="center"/>
    </xf>
    <xf numFmtId="0" fontId="18" fillId="56" borderId="30" xfId="0" applyFont="1" applyFill="1" applyBorder="1" applyAlignment="1">
      <alignment horizontal="center"/>
    </xf>
    <xf numFmtId="0" fontId="18" fillId="56" borderId="49" xfId="0" applyFont="1" applyFill="1" applyBorder="1" applyAlignment="1">
      <alignment horizontal="center"/>
    </xf>
    <xf numFmtId="0" fontId="20" fillId="56" borderId="52" xfId="0" applyFont="1" applyFill="1" applyBorder="1" applyAlignment="1">
      <alignment horizontal="center"/>
    </xf>
    <xf numFmtId="0" fontId="20" fillId="56" borderId="53" xfId="0" applyFont="1" applyFill="1" applyBorder="1" applyAlignment="1">
      <alignment horizontal="center"/>
    </xf>
    <xf numFmtId="0" fontId="20" fillId="56" borderId="54" xfId="0" applyFont="1" applyFill="1" applyBorder="1" applyAlignment="1">
      <alignment horizontal="center"/>
    </xf>
    <xf numFmtId="0" fontId="20" fillId="56" borderId="55" xfId="0" applyFont="1" applyFill="1" applyBorder="1" applyAlignment="1">
      <alignment horizontal="center"/>
    </xf>
    <xf numFmtId="0" fontId="20" fillId="56" borderId="56" xfId="0" applyFont="1" applyFill="1" applyBorder="1" applyAlignment="1">
      <alignment horizontal="center"/>
    </xf>
    <xf numFmtId="0" fontId="20" fillId="56" borderId="57" xfId="0" applyFont="1" applyFill="1" applyBorder="1" applyAlignment="1">
      <alignment horizontal="center"/>
    </xf>
    <xf numFmtId="0" fontId="31" fillId="56" borderId="44" xfId="0" applyFont="1" applyFill="1" applyBorder="1" applyAlignment="1">
      <alignment/>
    </xf>
    <xf numFmtId="0" fontId="31" fillId="56" borderId="45" xfId="0" applyFont="1" applyFill="1" applyBorder="1" applyAlignment="1">
      <alignment/>
    </xf>
    <xf numFmtId="0" fontId="31" fillId="56" borderId="58" xfId="0" applyFont="1" applyFill="1" applyBorder="1" applyAlignment="1">
      <alignment horizontal="center"/>
    </xf>
    <xf numFmtId="0" fontId="31" fillId="56" borderId="36" xfId="0" applyFont="1" applyFill="1" applyBorder="1" applyAlignment="1">
      <alignment horizontal="center"/>
    </xf>
    <xf numFmtId="0" fontId="31" fillId="56" borderId="46" xfId="0" applyFont="1" applyFill="1" applyBorder="1" applyAlignment="1">
      <alignment horizontal="center"/>
    </xf>
    <xf numFmtId="0" fontId="31" fillId="56" borderId="47" xfId="0" applyFont="1" applyFill="1" applyBorder="1" applyAlignment="1">
      <alignment/>
    </xf>
    <xf numFmtId="0" fontId="31" fillId="56" borderId="48" xfId="0" applyFont="1" applyFill="1" applyBorder="1" applyAlignment="1">
      <alignment horizontal="center"/>
    </xf>
    <xf numFmtId="0" fontId="31" fillId="56" borderId="59" xfId="0" applyFont="1" applyFill="1" applyBorder="1" applyAlignment="1">
      <alignment/>
    </xf>
    <xf numFmtId="0" fontId="31" fillId="56" borderId="60" xfId="0" applyFont="1" applyFill="1" applyBorder="1" applyAlignment="1">
      <alignment/>
    </xf>
    <xf numFmtId="0" fontId="31" fillId="56" borderId="61" xfId="0" applyFont="1" applyFill="1" applyBorder="1" applyAlignment="1">
      <alignment horizontal="center"/>
    </xf>
    <xf numFmtId="0" fontId="31" fillId="56" borderId="62" xfId="0" applyFont="1" applyFill="1" applyBorder="1" applyAlignment="1">
      <alignment horizontal="center"/>
    </xf>
    <xf numFmtId="0" fontId="31" fillId="56" borderId="0" xfId="0" applyFont="1" applyFill="1" applyBorder="1" applyAlignment="1">
      <alignment horizontal="center"/>
    </xf>
    <xf numFmtId="0" fontId="32" fillId="56" borderId="49" xfId="0" applyFont="1" applyFill="1" applyBorder="1" applyAlignment="1">
      <alignment horizontal="center"/>
    </xf>
    <xf numFmtId="0" fontId="31" fillId="56" borderId="47" xfId="0" applyFont="1" applyFill="1" applyBorder="1" applyAlignment="1">
      <alignment horizontal="center"/>
    </xf>
    <xf numFmtId="0" fontId="31" fillId="56" borderId="63" xfId="0" applyFont="1" applyFill="1" applyBorder="1" applyAlignment="1">
      <alignment horizontal="center"/>
    </xf>
    <xf numFmtId="0" fontId="31" fillId="56" borderId="30" xfId="0" applyFont="1" applyFill="1" applyBorder="1" applyAlignment="1">
      <alignment horizontal="center"/>
    </xf>
    <xf numFmtId="0" fontId="31" fillId="56" borderId="64" xfId="0" applyFont="1" applyFill="1" applyBorder="1" applyAlignment="1">
      <alignment horizontal="center"/>
    </xf>
    <xf numFmtId="0" fontId="32" fillId="56" borderId="62" xfId="0" applyFont="1" applyFill="1" applyBorder="1" applyAlignment="1">
      <alignment horizontal="center"/>
    </xf>
    <xf numFmtId="0" fontId="32" fillId="56" borderId="0" xfId="0" applyFont="1" applyFill="1" applyBorder="1" applyAlignment="1">
      <alignment horizontal="center"/>
    </xf>
    <xf numFmtId="0" fontId="31" fillId="56" borderId="48" xfId="0" applyFont="1" applyFill="1" applyBorder="1" applyAlignment="1">
      <alignment/>
    </xf>
    <xf numFmtId="0" fontId="31" fillId="56" borderId="49" xfId="0" applyFont="1" applyFill="1" applyBorder="1" applyAlignment="1">
      <alignment horizontal="center"/>
    </xf>
    <xf numFmtId="0" fontId="2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56" borderId="0" xfId="0" applyFont="1" applyFill="1" applyBorder="1" applyAlignment="1">
      <alignment/>
    </xf>
    <xf numFmtId="0" fontId="23" fillId="56" borderId="0" xfId="0" applyFont="1" applyFill="1" applyBorder="1" applyAlignment="1">
      <alignment/>
    </xf>
    <xf numFmtId="0" fontId="20" fillId="56" borderId="65" xfId="0" applyFont="1" applyFill="1" applyBorder="1" applyAlignment="1">
      <alignment horizontal="center"/>
    </xf>
    <xf numFmtId="0" fontId="20" fillId="56" borderId="66" xfId="0" applyFont="1" applyFill="1" applyBorder="1" applyAlignment="1">
      <alignment horizontal="center"/>
    </xf>
    <xf numFmtId="0" fontId="20" fillId="56" borderId="31" xfId="0" applyFont="1" applyFill="1" applyBorder="1" applyAlignment="1">
      <alignment/>
    </xf>
    <xf numFmtId="0" fontId="20" fillId="56" borderId="31" xfId="0" applyFont="1" applyFill="1" applyBorder="1" applyAlignment="1">
      <alignment horizontal="center"/>
    </xf>
    <xf numFmtId="0" fontId="18" fillId="56" borderId="31" xfId="0" applyFont="1" applyFill="1" applyBorder="1" applyAlignment="1">
      <alignment horizontal="center"/>
    </xf>
    <xf numFmtId="0" fontId="20" fillId="56" borderId="67" xfId="0" applyFont="1" applyFill="1" applyBorder="1" applyAlignment="1">
      <alignment horizontal="center"/>
    </xf>
    <xf numFmtId="0" fontId="20" fillId="56" borderId="67" xfId="0" applyFont="1" applyFill="1" applyBorder="1" applyAlignment="1">
      <alignment/>
    </xf>
    <xf numFmtId="0" fontId="18" fillId="56" borderId="67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24" fillId="55" borderId="27" xfId="0" applyNumberFormat="1" applyFont="1" applyFill="1" applyBorder="1" applyAlignment="1">
      <alignment/>
    </xf>
    <xf numFmtId="2" fontId="24" fillId="55" borderId="68" xfId="0" applyNumberFormat="1" applyFont="1" applyFill="1" applyBorder="1" applyAlignment="1">
      <alignment/>
    </xf>
    <xf numFmtId="2" fontId="24" fillId="55" borderId="69" xfId="0" applyNumberFormat="1" applyFont="1" applyFill="1" applyBorder="1" applyAlignment="1">
      <alignment/>
    </xf>
    <xf numFmtId="2" fontId="0" fillId="55" borderId="27" xfId="0" applyNumberFormat="1" applyFont="1" applyFill="1" applyBorder="1" applyAlignment="1">
      <alignment/>
    </xf>
    <xf numFmtId="2" fontId="0" fillId="55" borderId="28" xfId="0" applyNumberFormat="1" applyFont="1" applyFill="1" applyBorder="1" applyAlignment="1">
      <alignment/>
    </xf>
    <xf numFmtId="2" fontId="0" fillId="55" borderId="68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2" fontId="24" fillId="0" borderId="28" xfId="0" applyNumberFormat="1" applyFont="1" applyBorder="1" applyAlignment="1">
      <alignment/>
    </xf>
    <xf numFmtId="0" fontId="20" fillId="55" borderId="0" xfId="0" applyFont="1" applyFill="1" applyBorder="1" applyAlignment="1">
      <alignment/>
    </xf>
    <xf numFmtId="2" fontId="29" fillId="55" borderId="34" xfId="0" applyNumberFormat="1" applyFont="1" applyFill="1" applyBorder="1" applyAlignment="1">
      <alignment/>
    </xf>
    <xf numFmtId="0" fontId="30" fillId="55" borderId="0" xfId="0" applyFont="1" applyFill="1" applyAlignment="1">
      <alignment/>
    </xf>
    <xf numFmtId="0" fontId="32" fillId="55" borderId="25" xfId="0" applyFont="1" applyFill="1" applyBorder="1" applyAlignment="1">
      <alignment horizontal="right"/>
    </xf>
    <xf numFmtId="0" fontId="31" fillId="55" borderId="0" xfId="0" applyFont="1" applyFill="1" applyAlignment="1">
      <alignment/>
    </xf>
    <xf numFmtId="0" fontId="23" fillId="55" borderId="25" xfId="0" applyFont="1" applyFill="1" applyBorder="1" applyAlignment="1">
      <alignment/>
    </xf>
    <xf numFmtId="2" fontId="26" fillId="55" borderId="40" xfId="0" applyNumberFormat="1" applyFont="1" applyFill="1" applyBorder="1" applyAlignment="1">
      <alignment/>
    </xf>
    <xf numFmtId="2" fontId="26" fillId="55" borderId="41" xfId="0" applyNumberFormat="1" applyFont="1" applyFill="1" applyBorder="1" applyAlignment="1">
      <alignment/>
    </xf>
    <xf numFmtId="2" fontId="26" fillId="55" borderId="25" xfId="0" applyNumberFormat="1" applyFont="1" applyFill="1" applyBorder="1" applyAlignment="1">
      <alignment/>
    </xf>
    <xf numFmtId="2" fontId="26" fillId="55" borderId="24" xfId="0" applyNumberFormat="1" applyFont="1" applyFill="1" applyBorder="1" applyAlignment="1">
      <alignment/>
    </xf>
    <xf numFmtId="2" fontId="26" fillId="55" borderId="34" xfId="0" applyNumberFormat="1" applyFont="1" applyFill="1" applyBorder="1" applyAlignment="1">
      <alignment/>
    </xf>
    <xf numFmtId="2" fontId="27" fillId="55" borderId="40" xfId="0" applyNumberFormat="1" applyFont="1" applyFill="1" applyBorder="1" applyAlignment="1">
      <alignment/>
    </xf>
    <xf numFmtId="2" fontId="20" fillId="55" borderId="34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0" fontId="23" fillId="56" borderId="67" xfId="0" applyFont="1" applyFill="1" applyBorder="1" applyAlignment="1">
      <alignment/>
    </xf>
    <xf numFmtId="0" fontId="0" fillId="55" borderId="34" xfId="0" applyFont="1" applyFill="1" applyBorder="1" applyAlignment="1">
      <alignment/>
    </xf>
    <xf numFmtId="2" fontId="18" fillId="55" borderId="25" xfId="0" applyNumberFormat="1" applyFont="1" applyFill="1" applyBorder="1" applyAlignment="1">
      <alignment horizontal="right"/>
    </xf>
    <xf numFmtId="0" fontId="34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2" fontId="32" fillId="55" borderId="25" xfId="0" applyNumberFormat="1" applyFont="1" applyFill="1" applyBorder="1" applyAlignment="1">
      <alignment horizontal="right"/>
    </xf>
    <xf numFmtId="2" fontId="29" fillId="55" borderId="35" xfId="0" applyNumberFormat="1" applyFont="1" applyFill="1" applyBorder="1" applyAlignment="1">
      <alignment/>
    </xf>
    <xf numFmtId="0" fontId="20" fillId="55" borderId="0" xfId="0" applyFont="1" applyFill="1" applyBorder="1" applyAlignment="1">
      <alignment horizontal="center"/>
    </xf>
    <xf numFmtId="2" fontId="20" fillId="55" borderId="0" xfId="0" applyNumberFormat="1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7" borderId="0" xfId="0" applyFont="1" applyFill="1" applyAlignment="1">
      <alignment/>
    </xf>
    <xf numFmtId="2" fontId="71" fillId="55" borderId="23" xfId="0" applyNumberFormat="1" applyFont="1" applyFill="1" applyBorder="1" applyAlignment="1">
      <alignment/>
    </xf>
    <xf numFmtId="2" fontId="72" fillId="55" borderId="23" xfId="0" applyNumberFormat="1" applyFont="1" applyFill="1" applyBorder="1" applyAlignment="1">
      <alignment/>
    </xf>
    <xf numFmtId="0" fontId="73" fillId="55" borderId="0" xfId="0" applyFont="1" applyFill="1" applyAlignment="1">
      <alignment/>
    </xf>
    <xf numFmtId="2" fontId="71" fillId="55" borderId="29" xfId="0" applyNumberFormat="1" applyFont="1" applyFill="1" applyBorder="1" applyAlignment="1">
      <alignment/>
    </xf>
    <xf numFmtId="0" fontId="20" fillId="55" borderId="70" xfId="0" applyFont="1" applyFill="1" applyBorder="1" applyAlignment="1">
      <alignment/>
    </xf>
    <xf numFmtId="2" fontId="26" fillId="55" borderId="34" xfId="0" applyNumberFormat="1" applyFont="1" applyFill="1" applyBorder="1" applyAlignment="1">
      <alignment horizontal="right"/>
    </xf>
    <xf numFmtId="2" fontId="27" fillId="55" borderId="34" xfId="0" applyNumberFormat="1" applyFont="1" applyFill="1" applyBorder="1" applyAlignment="1">
      <alignment/>
    </xf>
    <xf numFmtId="0" fontId="20" fillId="55" borderId="31" xfId="0" applyFont="1" applyFill="1" applyBorder="1" applyAlignment="1">
      <alignment/>
    </xf>
    <xf numFmtId="2" fontId="26" fillId="55" borderId="25" xfId="0" applyNumberFormat="1" applyFont="1" applyFill="1" applyBorder="1" applyAlignment="1">
      <alignment horizontal="right"/>
    </xf>
    <xf numFmtId="2" fontId="27" fillId="55" borderId="25" xfId="0" applyNumberFormat="1" applyFont="1" applyFill="1" applyBorder="1" applyAlignment="1">
      <alignment/>
    </xf>
    <xf numFmtId="0" fontId="0" fillId="55" borderId="25" xfId="0" applyFont="1" applyFill="1" applyBorder="1" applyAlignment="1">
      <alignment/>
    </xf>
    <xf numFmtId="0" fontId="26" fillId="55" borderId="0" xfId="0" applyFont="1" applyFill="1" applyAlignment="1">
      <alignment/>
    </xf>
    <xf numFmtId="2" fontId="26" fillId="55" borderId="31" xfId="0" applyNumberFormat="1" applyFont="1" applyFill="1" applyBorder="1" applyAlignment="1">
      <alignment/>
    </xf>
    <xf numFmtId="2" fontId="20" fillId="57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57" borderId="25" xfId="0" applyFont="1" applyFill="1" applyBorder="1" applyAlignment="1">
      <alignment/>
    </xf>
    <xf numFmtId="2" fontId="20" fillId="57" borderId="34" xfId="0" applyNumberFormat="1" applyFont="1" applyFill="1" applyBorder="1" applyAlignment="1">
      <alignment horizontal="center"/>
    </xf>
    <xf numFmtId="0" fontId="31" fillId="57" borderId="25" xfId="0" applyFont="1" applyFill="1" applyBorder="1" applyAlignment="1">
      <alignment/>
    </xf>
    <xf numFmtId="0" fontId="31" fillId="58" borderId="25" xfId="0" applyFont="1" applyFill="1" applyBorder="1" applyAlignment="1">
      <alignment/>
    </xf>
    <xf numFmtId="0" fontId="23" fillId="58" borderId="25" xfId="0" applyFont="1" applyFill="1" applyBorder="1" applyAlignment="1">
      <alignment horizontal="left"/>
    </xf>
    <xf numFmtId="2" fontId="20" fillId="58" borderId="25" xfId="0" applyNumberFormat="1" applyFont="1" applyFill="1" applyBorder="1" applyAlignment="1">
      <alignment horizontal="right"/>
    </xf>
    <xf numFmtId="2" fontId="18" fillId="58" borderId="25" xfId="0" applyNumberFormat="1" applyFont="1" applyFill="1" applyBorder="1" applyAlignment="1">
      <alignment horizontal="right"/>
    </xf>
    <xf numFmtId="2" fontId="31" fillId="58" borderId="35" xfId="0" applyNumberFormat="1" applyFont="1" applyFill="1" applyBorder="1" applyAlignment="1">
      <alignment/>
    </xf>
    <xf numFmtId="2" fontId="31" fillId="58" borderId="34" xfId="0" applyNumberFormat="1" applyFont="1" applyFill="1" applyBorder="1" applyAlignment="1">
      <alignment/>
    </xf>
    <xf numFmtId="0" fontId="33" fillId="58" borderId="0" xfId="0" applyFont="1" applyFill="1" applyAlignment="1">
      <alignment/>
    </xf>
    <xf numFmtId="0" fontId="20" fillId="58" borderId="25" xfId="0" applyFont="1" applyFill="1" applyBorder="1" applyAlignment="1">
      <alignment/>
    </xf>
    <xf numFmtId="0" fontId="34" fillId="58" borderId="25" xfId="0" applyFont="1" applyFill="1" applyBorder="1" applyAlignment="1">
      <alignment/>
    </xf>
    <xf numFmtId="0" fontId="31" fillId="58" borderId="25" xfId="0" applyFont="1" applyFill="1" applyBorder="1" applyAlignment="1">
      <alignment horizontal="right"/>
    </xf>
    <xf numFmtId="0" fontId="18" fillId="58" borderId="25" xfId="0" applyFont="1" applyFill="1" applyBorder="1" applyAlignment="1">
      <alignment horizontal="right"/>
    </xf>
    <xf numFmtId="0" fontId="32" fillId="58" borderId="25" xfId="0" applyFont="1" applyFill="1" applyBorder="1" applyAlignment="1">
      <alignment horizontal="right"/>
    </xf>
    <xf numFmtId="0" fontId="31" fillId="58" borderId="0" xfId="0" applyFont="1" applyFill="1" applyAlignment="1">
      <alignment/>
    </xf>
    <xf numFmtId="2" fontId="31" fillId="58" borderId="25" xfId="0" applyNumberFormat="1" applyFont="1" applyFill="1" applyBorder="1" applyAlignment="1">
      <alignment horizontal="right"/>
    </xf>
    <xf numFmtId="2" fontId="32" fillId="58" borderId="25" xfId="0" applyNumberFormat="1" applyFont="1" applyFill="1" applyBorder="1" applyAlignment="1">
      <alignment horizontal="right"/>
    </xf>
    <xf numFmtId="2" fontId="31" fillId="58" borderId="24" xfId="0" applyNumberFormat="1" applyFont="1" applyFill="1" applyBorder="1" applyAlignment="1">
      <alignment/>
    </xf>
    <xf numFmtId="2" fontId="31" fillId="58" borderId="23" xfId="0" applyNumberFormat="1" applyFont="1" applyFill="1" applyBorder="1" applyAlignment="1">
      <alignment/>
    </xf>
    <xf numFmtId="0" fontId="20" fillId="58" borderId="25" xfId="0" applyFont="1" applyFill="1" applyBorder="1" applyAlignment="1">
      <alignment horizontal="right"/>
    </xf>
    <xf numFmtId="0" fontId="23" fillId="58" borderId="25" xfId="0" applyFont="1" applyFill="1" applyBorder="1" applyAlignment="1">
      <alignment/>
    </xf>
    <xf numFmtId="2" fontId="20" fillId="58" borderId="24" xfId="0" applyNumberFormat="1" applyFont="1" applyFill="1" applyBorder="1" applyAlignment="1">
      <alignment/>
    </xf>
    <xf numFmtId="2" fontId="20" fillId="58" borderId="23" xfId="0" applyNumberFormat="1" applyFont="1" applyFill="1" applyBorder="1" applyAlignment="1">
      <alignment/>
    </xf>
    <xf numFmtId="0" fontId="0" fillId="58" borderId="0" xfId="0" applyFont="1" applyFill="1" applyAlignment="1">
      <alignment/>
    </xf>
    <xf numFmtId="2" fontId="20" fillId="58" borderId="0" xfId="0" applyNumberFormat="1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20" fillId="58" borderId="0" xfId="0" applyFont="1" applyFill="1" applyBorder="1" applyAlignment="1">
      <alignment horizontal="center"/>
    </xf>
    <xf numFmtId="0" fontId="23" fillId="58" borderId="0" xfId="0" applyFont="1" applyFill="1" applyAlignment="1">
      <alignment/>
    </xf>
    <xf numFmtId="0" fontId="0" fillId="58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25" xfId="0" applyNumberFormat="1" applyFill="1" applyBorder="1" applyAlignment="1">
      <alignment/>
    </xf>
    <xf numFmtId="0" fontId="31" fillId="59" borderId="25" xfId="0" applyFont="1" applyFill="1" applyBorder="1" applyAlignment="1">
      <alignment horizontal="center"/>
    </xf>
    <xf numFmtId="0" fontId="31" fillId="59" borderId="25" xfId="0" applyFont="1" applyFill="1" applyBorder="1" applyAlignment="1">
      <alignment/>
    </xf>
    <xf numFmtId="2" fontId="31" fillId="55" borderId="0" xfId="0" applyNumberFormat="1" applyFont="1" applyFill="1" applyBorder="1" applyAlignment="1">
      <alignment/>
    </xf>
    <xf numFmtId="0" fontId="20" fillId="55" borderId="23" xfId="0" applyFont="1" applyFill="1" applyBorder="1" applyAlignment="1">
      <alignment/>
    </xf>
    <xf numFmtId="0" fontId="0" fillId="57" borderId="0" xfId="0" applyFill="1" applyAlignment="1">
      <alignment/>
    </xf>
    <xf numFmtId="0" fontId="23" fillId="57" borderId="0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0" xfId="0" applyFont="1" applyFill="1" applyBorder="1" applyAlignment="1">
      <alignment/>
    </xf>
    <xf numFmtId="0" fontId="20" fillId="57" borderId="0" xfId="0" applyFont="1" applyFill="1" applyBorder="1" applyAlignment="1">
      <alignment/>
    </xf>
    <xf numFmtId="2" fontId="26" fillId="55" borderId="24" xfId="0" applyNumberFormat="1" applyFont="1" applyFill="1" applyBorder="1" applyAlignment="1">
      <alignment horizontal="right"/>
    </xf>
    <xf numFmtId="2" fontId="26" fillId="55" borderId="42" xfId="0" applyNumberFormat="1" applyFont="1" applyFill="1" applyBorder="1" applyAlignment="1">
      <alignment horizontal="right"/>
    </xf>
    <xf numFmtId="0" fontId="74" fillId="55" borderId="25" xfId="0" applyFont="1" applyFill="1" applyBorder="1" applyAlignment="1">
      <alignment/>
    </xf>
    <xf numFmtId="2" fontId="74" fillId="55" borderId="23" xfId="0" applyNumberFormat="1" applyFont="1" applyFill="1" applyBorder="1" applyAlignment="1">
      <alignment horizontal="center"/>
    </xf>
    <xf numFmtId="2" fontId="74" fillId="55" borderId="34" xfId="0" applyNumberFormat="1" applyFont="1" applyFill="1" applyBorder="1" applyAlignment="1">
      <alignment horizontal="center"/>
    </xf>
    <xf numFmtId="2" fontId="31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 horizontal="right"/>
    </xf>
    <xf numFmtId="2" fontId="0" fillId="0" borderId="40" xfId="63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0" fontId="20" fillId="57" borderId="25" xfId="0" applyFont="1" applyFill="1" applyBorder="1" applyAlignment="1">
      <alignment horizontal="left"/>
    </xf>
    <xf numFmtId="0" fontId="31" fillId="55" borderId="25" xfId="0" applyFont="1" applyFill="1" applyBorder="1" applyAlignment="1">
      <alignment horizontal="left"/>
    </xf>
    <xf numFmtId="0" fontId="20" fillId="55" borderId="25" xfId="0" applyFont="1" applyFill="1" applyBorder="1" applyAlignment="1">
      <alignment horizontal="left"/>
    </xf>
    <xf numFmtId="0" fontId="31" fillId="55" borderId="25" xfId="0" applyFont="1" applyFill="1" applyBorder="1" applyAlignment="1">
      <alignment/>
    </xf>
    <xf numFmtId="0" fontId="35" fillId="55" borderId="0" xfId="0" applyFont="1" applyFill="1" applyBorder="1" applyAlignment="1">
      <alignment horizontal="center"/>
    </xf>
    <xf numFmtId="0" fontId="33" fillId="55" borderId="0" xfId="0" applyFont="1" applyFill="1" applyBorder="1" applyAlignment="1">
      <alignment horizontal="center"/>
    </xf>
    <xf numFmtId="0" fontId="33" fillId="56" borderId="2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24" fillId="20" borderId="65" xfId="0" applyFont="1" applyFill="1" applyBorder="1" applyAlignment="1">
      <alignment horizontal="center"/>
    </xf>
    <xf numFmtId="0" fontId="24" fillId="20" borderId="66" xfId="0" applyFont="1" applyFill="1" applyBorder="1" applyAlignment="1">
      <alignment horizontal="center"/>
    </xf>
    <xf numFmtId="0" fontId="0" fillId="20" borderId="72" xfId="0" applyFont="1" applyFill="1" applyBorder="1" applyAlignment="1">
      <alignment horizontal="center"/>
    </xf>
    <xf numFmtId="0" fontId="0" fillId="20" borderId="73" xfId="0" applyFont="1" applyFill="1" applyBorder="1" applyAlignment="1">
      <alignment horizontal="center"/>
    </xf>
    <xf numFmtId="0" fontId="0" fillId="20" borderId="74" xfId="0" applyFont="1" applyFill="1" applyBorder="1" applyAlignment="1">
      <alignment horizontal="center"/>
    </xf>
    <xf numFmtId="0" fontId="20" fillId="56" borderId="71" xfId="0" applyFont="1" applyFill="1" applyBorder="1" applyAlignment="1">
      <alignment horizontal="center"/>
    </xf>
    <xf numFmtId="0" fontId="20" fillId="56" borderId="6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60" borderId="34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26" fillId="10" borderId="29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93"/>
          <c:w val="0.771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Elanikkonnale!$C$5:$C$6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Elanikkonnale!$B$7:$B$47</c:f>
              <c:strCache/>
            </c:strRef>
          </c:cat>
          <c:val>
            <c:numRef>
              <c:f>Elanikkonnale!$C$7:$C$47</c:f>
              <c:numCache/>
            </c:numRef>
          </c:val>
        </c:ser>
        <c:ser>
          <c:idx val="1"/>
          <c:order val="1"/>
          <c:tx>
            <c:strRef>
              <c:f>Elanikkonnale!$D$5:$D$6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Elanikkonnale!$B$7:$B$47</c:f>
              <c:strCache/>
            </c:strRef>
          </c:cat>
          <c:val>
            <c:numRef>
              <c:f>Elanikkonnale!$D$7:$D$47</c:f>
              <c:numCache/>
            </c:numRef>
          </c:val>
        </c:ser>
        <c:axId val="64844563"/>
        <c:axId val="46730156"/>
      </c:bar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456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72"/>
          <c:w val="0.069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99"/>
          <c:w val="0.84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Ettevõtetele!$C$5:$C$6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Ettevõtetele!$B$7:$B$47</c:f>
              <c:strCache/>
            </c:strRef>
          </c:cat>
          <c:val>
            <c:numRef>
              <c:f>Ettevõtetele!$C$7:$C$47</c:f>
              <c:numCache/>
            </c:numRef>
          </c:val>
        </c:ser>
        <c:ser>
          <c:idx val="1"/>
          <c:order val="1"/>
          <c:tx>
            <c:strRef>
              <c:f>Ettevõtetele!$D$5:$D$6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Ettevõtetele!$B$7:$B$47</c:f>
              <c:strCache/>
            </c:strRef>
          </c:cat>
          <c:val>
            <c:numRef>
              <c:f>Ettevõtetele!$D$7:$D$47</c:f>
              <c:numCache/>
            </c:numRef>
          </c:val>
        </c:ser>
        <c:axId val="17918221"/>
        <c:axId val="27046262"/>
      </c:bar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8221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46925"/>
          <c:w val="0.088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75"/>
          <c:w val="0.839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'1m3 tulu'!$C$3</c:f>
              <c:strCache>
                <c:ptCount val="1"/>
                <c:pt idx="0">
                  <c:v>Elanikk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tulu'!$B$4:$B$43</c:f>
              <c:strCache/>
            </c:strRef>
          </c:cat>
          <c:val>
            <c:numRef>
              <c:f>'1m3 tulu'!$C$4:$C$43</c:f>
              <c:numCache/>
            </c:numRef>
          </c:val>
        </c:ser>
        <c:ser>
          <c:idx val="1"/>
          <c:order val="1"/>
          <c:tx>
            <c:strRef>
              <c:f>'1m3 tulu'!$D$3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tulu'!$B$4:$B$43</c:f>
              <c:strCache/>
            </c:strRef>
          </c:cat>
          <c:val>
            <c:numRef>
              <c:f>'1m3 tulu'!$D$4:$D$43</c:f>
              <c:numCache/>
            </c:numRef>
          </c:val>
        </c:ser>
        <c:axId val="42089767"/>
        <c:axId val="43263584"/>
      </c:bar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76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645"/>
          <c:w val="0.084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15"/>
          <c:w val="0.857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Graafik!$B$5:$B$44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Graafik!$C$5:$C$44</c:f>
              <c:numCache/>
            </c:numRef>
          </c:val>
        </c:ser>
        <c:axId val="53827937"/>
        <c:axId val="14689386"/>
      </c:bar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"/>
          <c:y val="0.465"/>
          <c:w val="0.07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0.36925</cdr:y>
    </cdr:from>
    <cdr:to>
      <cdr:x>0.0525</cdr:x>
      <cdr:y>0.53025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990850"/>
          <a:ext cx="381000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0.1595</cdr:x>
      <cdr:y>0.00625</cdr:y>
    </cdr:from>
    <cdr:to>
      <cdr:x>0.812</cdr:x>
      <cdr:y>0.07525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05000" y="47625"/>
          <a:ext cx="7820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0.008</cdr:y>
    </cdr:from>
    <cdr:to>
      <cdr:x>0.817</cdr:x>
      <cdr:y>0.0735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57150"/>
          <a:ext cx="8496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Veeteenuse hind elanikkonnale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abonenttasuga (käibemaksuga)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31.12.2012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152400</xdr:rowOff>
    </xdr:from>
    <xdr:to>
      <xdr:col>24</xdr:col>
      <xdr:colOff>419100</xdr:colOff>
      <xdr:row>51</xdr:row>
      <xdr:rowOff>152400</xdr:rowOff>
    </xdr:to>
    <xdr:graphicFrame>
      <xdr:nvGraphicFramePr>
        <xdr:cNvPr id="1" name="Diagramm 4"/>
        <xdr:cNvGraphicFramePr/>
      </xdr:nvGraphicFramePr>
      <xdr:xfrm>
        <a:off x="3667125" y="314325"/>
        <a:ext cx="119824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0.8235</cdr:y>
    </cdr:from>
    <cdr:to>
      <cdr:x>0.03625</cdr:x>
      <cdr:y>0.926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28574" y="6048375"/>
          <a:ext cx="3810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0.40875</cdr:y>
    </cdr:from>
    <cdr:to>
      <cdr:x>0.0365</cdr:x>
      <cdr:y>0.53375</cdr:y>
    </cdr:to>
    <cdr:sp>
      <cdr:nvSpPr>
        <cdr:cNvPr id="2" name="TextBox 2"/>
        <cdr:cNvSpPr txBox="1">
          <a:spLocks noChangeArrowheads="1"/>
        </cdr:cNvSpPr>
      </cdr:nvSpPr>
      <cdr:spPr>
        <a:xfrm>
          <a:off x="-9524" y="3000375"/>
          <a:ext cx="3619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0.2215</cdr:x>
      <cdr:y>0.0365</cdr:y>
    </cdr:from>
    <cdr:to>
      <cdr:x>0.73675</cdr:x>
      <cdr:y>0.0915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095500" y="266700"/>
          <a:ext cx="4886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0.00825</cdr:y>
    </cdr:from>
    <cdr:to>
      <cdr:x>0.7625</cdr:x>
      <cdr:y>0.10025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57150"/>
          <a:ext cx="49244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Veeteenuste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hind ettevõttele abonenttasuga (käibemaksuga) 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31.12.2012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20</xdr:col>
      <xdr:colOff>342900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3619500" y="381000"/>
        <a:ext cx="94773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0.2595</cdr:y>
    </cdr:from>
    <cdr:to>
      <cdr:x>0.03025</cdr:x>
      <cdr:y>0.37925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1647825"/>
          <a:ext cx="3048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0.22375</cdr:x>
      <cdr:y>0.0345</cdr:y>
    </cdr:from>
    <cdr:to>
      <cdr:x>0.70925</cdr:x>
      <cdr:y>0.06925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219075"/>
          <a:ext cx="415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1m3 veeteenuste müügist 2012 . 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19050</xdr:rowOff>
    </xdr:from>
    <xdr:to>
      <xdr:col>18</xdr:col>
      <xdr:colOff>600075</xdr:colOff>
      <xdr:row>42</xdr:row>
      <xdr:rowOff>85725</xdr:rowOff>
    </xdr:to>
    <xdr:graphicFrame>
      <xdr:nvGraphicFramePr>
        <xdr:cNvPr id="1" name="Diagramm 2"/>
        <xdr:cNvGraphicFramePr/>
      </xdr:nvGraphicFramePr>
      <xdr:xfrm>
        <a:off x="3705225" y="504825"/>
        <a:ext cx="85534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0.0975</cdr:y>
    </cdr:from>
    <cdr:to>
      <cdr:x>0.299</cdr:x>
      <cdr:y>0.105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00" y="6381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0.0025</cdr:y>
    </cdr:from>
    <cdr:to>
      <cdr:x>0.73825</cdr:x>
      <cdr:y>0.06575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24050" y="9525"/>
          <a:ext cx="5267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0.00425</cdr:y>
    </cdr:from>
    <cdr:to>
      <cdr:x>0.8535</cdr:x>
      <cdr:y>0.0885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9050"/>
          <a:ext cx="6219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Veeteenuste hind  (vesi+kanal)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koos abonenttasuga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(käibemaksuga)  seisuga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31.12.2012
</a:t>
          </a:r>
        </a:p>
      </cdr:txBody>
    </cdr:sp>
  </cdr:relSizeAnchor>
  <cdr:relSizeAnchor xmlns:cdr="http://schemas.openxmlformats.org/drawingml/2006/chartDrawing">
    <cdr:from>
      <cdr:x>0.004</cdr:x>
      <cdr:y>0.29175</cdr:y>
    </cdr:from>
    <cdr:to>
      <cdr:x>0.031</cdr:x>
      <cdr:y>0.38375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38100" y="1933575"/>
          <a:ext cx="26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0.32575</cdr:y>
    </cdr:from>
    <cdr:to>
      <cdr:x>0.03325</cdr:x>
      <cdr:y>0.437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2162175"/>
          <a:ext cx="3238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0.31125</cdr:y>
    </cdr:from>
    <cdr:to>
      <cdr:x>0.02975</cdr:x>
      <cdr:y>0.4295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2057400"/>
          <a:ext cx="2667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38100</xdr:rowOff>
    </xdr:from>
    <xdr:to>
      <xdr:col>19</xdr:col>
      <xdr:colOff>571500</xdr:colOff>
      <xdr:row>43</xdr:row>
      <xdr:rowOff>19050</xdr:rowOff>
    </xdr:to>
    <xdr:graphicFrame>
      <xdr:nvGraphicFramePr>
        <xdr:cNvPr id="1" name="Diagramm 3"/>
        <xdr:cNvGraphicFramePr/>
      </xdr:nvGraphicFramePr>
      <xdr:xfrm>
        <a:off x="3162300" y="371475"/>
        <a:ext cx="97440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8.421875" style="0" customWidth="1"/>
  </cols>
  <sheetData>
    <row r="2" ht="28.5" customHeight="1">
      <c r="A2" s="143" t="s">
        <v>164</v>
      </c>
    </row>
    <row r="3" ht="13.5" customHeight="1">
      <c r="A3" s="143"/>
    </row>
    <row r="4" ht="25.5">
      <c r="A4" s="144" t="s">
        <v>134</v>
      </c>
    </row>
    <row r="5" ht="12.75">
      <c r="A5" s="145"/>
    </row>
    <row r="6" ht="25.5">
      <c r="A6" s="144" t="s">
        <v>135</v>
      </c>
    </row>
    <row r="7" ht="12.75">
      <c r="A7" s="145"/>
    </row>
    <row r="8" ht="12.75">
      <c r="A8" s="147" t="s">
        <v>150</v>
      </c>
    </row>
    <row r="9" ht="12.75">
      <c r="A9" s="146" t="s">
        <v>140</v>
      </c>
    </row>
    <row r="10" ht="12.75">
      <c r="A10" s="145" t="s">
        <v>136</v>
      </c>
    </row>
    <row r="11" ht="12.75">
      <c r="A11" s="145" t="s">
        <v>137</v>
      </c>
    </row>
    <row r="12" ht="12.75">
      <c r="A12" s="145" t="s">
        <v>138</v>
      </c>
    </row>
    <row r="13" ht="12.75">
      <c r="A13" s="145" t="s">
        <v>139</v>
      </c>
    </row>
    <row r="14" ht="12.75">
      <c r="A14" s="145"/>
    </row>
    <row r="15" ht="12.75">
      <c r="A15" s="145"/>
    </row>
    <row r="16" ht="12.75">
      <c r="A16" s="147" t="s">
        <v>151</v>
      </c>
    </row>
    <row r="17" ht="12.75">
      <c r="A17" s="146" t="s">
        <v>142</v>
      </c>
    </row>
    <row r="18" ht="12.75">
      <c r="A18" s="145" t="s">
        <v>141</v>
      </c>
    </row>
    <row r="19" ht="12.75">
      <c r="A19" s="145" t="s">
        <v>143</v>
      </c>
    </row>
    <row r="20" ht="12.75">
      <c r="A20" s="145" t="s">
        <v>144</v>
      </c>
    </row>
    <row r="21" ht="12.75">
      <c r="A21" s="145" t="s">
        <v>145</v>
      </c>
    </row>
    <row r="22" ht="12.75">
      <c r="A22" s="145"/>
    </row>
    <row r="23" ht="12.75">
      <c r="A23" s="146" t="s">
        <v>133</v>
      </c>
    </row>
    <row r="24" ht="12.75">
      <c r="A24" s="146" t="s">
        <v>142</v>
      </c>
    </row>
    <row r="25" ht="12.75">
      <c r="A25" s="145" t="s">
        <v>149</v>
      </c>
    </row>
    <row r="26" ht="12.75">
      <c r="A26" s="145" t="s">
        <v>146</v>
      </c>
    </row>
    <row r="27" ht="12.75">
      <c r="A27" s="145" t="s">
        <v>147</v>
      </c>
    </row>
    <row r="28" ht="12.75">
      <c r="A28" s="145" t="s">
        <v>148</v>
      </c>
    </row>
    <row r="29" ht="12.75">
      <c r="A29" s="145"/>
    </row>
    <row r="30" ht="12.75">
      <c r="A30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4"/>
  <sheetViews>
    <sheetView zoomScale="55" zoomScaleNormal="55" workbookViewId="0" topLeftCell="A1">
      <selection activeCell="G52" sqref="G52"/>
    </sheetView>
  </sheetViews>
  <sheetFormatPr defaultColWidth="9.140625" defaultRowHeight="12.75"/>
  <cols>
    <col min="1" max="1" width="20.421875" style="0" customWidth="1"/>
  </cols>
  <sheetData>
    <row r="2" spans="1:3" ht="13.5" thickBot="1">
      <c r="A2" s="242" t="s">
        <v>108</v>
      </c>
      <c r="B2" s="242"/>
      <c r="C2" s="242"/>
    </row>
    <row r="3" spans="1:3" ht="12.75">
      <c r="A3" s="1"/>
      <c r="B3" s="2"/>
      <c r="C3" s="2"/>
    </row>
    <row r="4" spans="1:3" ht="13.5" thickBot="1">
      <c r="A4" s="3"/>
      <c r="B4" s="4" t="s">
        <v>109</v>
      </c>
      <c r="C4" s="4" t="s">
        <v>99</v>
      </c>
    </row>
    <row r="5" spans="1:3" ht="12.75">
      <c r="A5" s="21" t="s">
        <v>152</v>
      </c>
      <c r="B5" s="30">
        <f>'Veeteenused elanikkonnale'!I9</f>
        <v>4.53</v>
      </c>
      <c r="C5" s="30">
        <f>'Veeteenused ettevõtetele'!H8</f>
        <v>6.07</v>
      </c>
    </row>
    <row r="6" spans="1:3" ht="12.75">
      <c r="A6" s="12" t="s">
        <v>25</v>
      </c>
      <c r="B6" s="30">
        <f>'Veeteenused elanikkonnale'!I10</f>
        <v>2.388</v>
      </c>
      <c r="C6" s="30">
        <f>'Veeteenused ettevõtetele'!H9</f>
        <v>2.388</v>
      </c>
    </row>
    <row r="7" spans="1:3" ht="12.75">
      <c r="A7" s="12" t="s">
        <v>180</v>
      </c>
      <c r="B7" s="207">
        <f>'Veeteenused elanikkonnale'!I11</f>
        <v>1.85</v>
      </c>
      <c r="C7" s="207">
        <f>'Veeteenused ettevõtetele'!H10</f>
        <v>0</v>
      </c>
    </row>
    <row r="8" spans="1:3" ht="12.75">
      <c r="A8" s="12" t="s">
        <v>153</v>
      </c>
      <c r="B8" s="207">
        <f>'Veeteenused elanikkonnale'!I12</f>
        <v>2.24</v>
      </c>
      <c r="C8" s="207">
        <f>'Veeteenused ettevõtetele'!H11</f>
        <v>2.2800000000000002</v>
      </c>
    </row>
    <row r="9" spans="1:3" ht="12.75">
      <c r="A9" s="12" t="s">
        <v>95</v>
      </c>
      <c r="B9" s="207">
        <f>'Veeteenused elanikkonnale'!I13</f>
        <v>2.616</v>
      </c>
      <c r="C9" s="207">
        <f>'Veeteenused ettevõtetele'!H12</f>
        <v>3.13</v>
      </c>
    </row>
    <row r="10" spans="1:3" ht="12.75">
      <c r="A10" s="12" t="s">
        <v>27</v>
      </c>
      <c r="B10" s="207">
        <f>'Veeteenused elanikkonnale'!I14</f>
        <v>2.026</v>
      </c>
      <c r="C10" s="207">
        <f>'Veeteenused ettevõtetele'!H13</f>
        <v>2.55</v>
      </c>
    </row>
    <row r="11" spans="1:3" ht="12.75">
      <c r="A11" s="12" t="s">
        <v>29</v>
      </c>
      <c r="B11" s="207">
        <f>'Veeteenused elanikkonnale'!I15</f>
        <v>1.71</v>
      </c>
      <c r="C11" s="207">
        <f>'Veeteenused ettevõtetele'!H14</f>
        <v>2.027</v>
      </c>
    </row>
    <row r="12" spans="1:3" ht="12.75">
      <c r="A12" s="12" t="s">
        <v>26</v>
      </c>
      <c r="B12" s="207">
        <f>'Veeteenused elanikkonnale'!I16</f>
        <v>2.54</v>
      </c>
      <c r="C12" s="207">
        <f>'Veeteenused ettevõtetele'!H15</f>
        <v>2.21</v>
      </c>
    </row>
    <row r="13" spans="1:3" ht="12.75">
      <c r="A13" s="12" t="s">
        <v>31</v>
      </c>
      <c r="B13" s="207">
        <f>'Veeteenused elanikkonnale'!I17</f>
        <v>2.604</v>
      </c>
      <c r="C13" s="207">
        <f>'Veeteenused ettevõtetele'!H16</f>
        <v>2.6</v>
      </c>
    </row>
    <row r="14" spans="1:3" ht="12.75">
      <c r="A14" s="12" t="s">
        <v>41</v>
      </c>
      <c r="B14" s="207">
        <f>'Veeteenused elanikkonnale'!I18</f>
        <v>2.933</v>
      </c>
      <c r="C14" s="207">
        <f>'Veeteenused ettevõtetele'!H17</f>
        <v>3.051</v>
      </c>
    </row>
    <row r="15" spans="1:3" ht="12.75">
      <c r="A15" s="12" t="s">
        <v>33</v>
      </c>
      <c r="B15" s="207">
        <f>'Veeteenused elanikkonnale'!I19</f>
        <v>2.43</v>
      </c>
      <c r="C15" s="207">
        <f>'Veeteenused ettevõtetele'!H18</f>
        <v>2.33</v>
      </c>
    </row>
    <row r="16" spans="1:3" ht="12.75">
      <c r="A16" s="12" t="s">
        <v>112</v>
      </c>
      <c r="B16" s="207">
        <f>'Veeteenused elanikkonnale'!I20</f>
        <v>3.5700000000000003</v>
      </c>
      <c r="C16" s="207">
        <f>'Veeteenused ettevõtetele'!H19</f>
        <v>5.34</v>
      </c>
    </row>
    <row r="17" spans="1:3" ht="12.75">
      <c r="A17" s="12" t="s">
        <v>34</v>
      </c>
      <c r="B17" s="207">
        <f>'Veeteenused elanikkonnale'!I21</f>
        <v>1.7799999999999998</v>
      </c>
      <c r="C17" s="207">
        <f>'Veeteenused ettevõtetele'!H20</f>
        <v>1.6800000000000002</v>
      </c>
    </row>
    <row r="18" spans="1:3" ht="12.75">
      <c r="A18" s="12" t="s">
        <v>35</v>
      </c>
      <c r="B18" s="207">
        <f>'Veeteenused elanikkonnale'!I22</f>
        <v>3.024</v>
      </c>
      <c r="C18" s="207">
        <f>'Veeteenused ettevõtetele'!H21</f>
        <v>3.63</v>
      </c>
    </row>
    <row r="19" spans="1:3" ht="12.75">
      <c r="A19" s="12" t="s">
        <v>37</v>
      </c>
      <c r="B19" s="207">
        <f>'Veeteenused elanikkonnale'!I23</f>
        <v>3.99</v>
      </c>
      <c r="C19" s="207">
        <f>'Veeteenused ettevõtetele'!H22</f>
        <v>4.02</v>
      </c>
    </row>
    <row r="20" spans="1:3" ht="12.75">
      <c r="A20" s="12" t="s">
        <v>154</v>
      </c>
      <c r="B20" s="207">
        <f>'Veeteenused elanikkonnale'!I24</f>
        <v>2.82</v>
      </c>
      <c r="C20" s="207">
        <f>'Veeteenused ettevõtetele'!H23</f>
        <v>3.11</v>
      </c>
    </row>
    <row r="21" spans="1:3" ht="12.75">
      <c r="A21" s="21" t="s">
        <v>39</v>
      </c>
      <c r="B21" s="207">
        <f>'Veeteenused elanikkonnale'!I25</f>
        <v>2.66</v>
      </c>
      <c r="C21" s="207">
        <f>'Veeteenused ettevõtetele'!H24</f>
        <v>3.5</v>
      </c>
    </row>
    <row r="22" spans="1:3" ht="12.75">
      <c r="A22" s="12" t="s">
        <v>42</v>
      </c>
      <c r="B22" s="207">
        <f>'Veeteenused elanikkonnale'!I26</f>
        <v>2.3280000000000003</v>
      </c>
      <c r="C22" s="207">
        <f>'Veeteenused ettevõtetele'!H25</f>
        <v>2.3280000000000003</v>
      </c>
    </row>
    <row r="23" spans="1:3" ht="12.75">
      <c r="A23" s="12" t="s">
        <v>43</v>
      </c>
      <c r="B23" s="207">
        <f>'Veeteenused elanikkonnale'!I27</f>
        <v>2.484</v>
      </c>
      <c r="C23" s="207">
        <f>'Veeteenused ettevõtetele'!H26</f>
        <v>2.484</v>
      </c>
    </row>
    <row r="24" spans="1:3" ht="12.75">
      <c r="A24" s="12" t="s">
        <v>45</v>
      </c>
      <c r="B24" s="207">
        <f>'Veeteenused elanikkonnale'!I28</f>
        <v>2.6399999999999997</v>
      </c>
      <c r="C24" s="207">
        <f>'Veeteenused ettevõtetele'!H27</f>
        <v>3.34</v>
      </c>
    </row>
    <row r="25" spans="1:3" ht="12.75">
      <c r="A25" s="12" t="s">
        <v>89</v>
      </c>
      <c r="B25" s="207">
        <f>'Veeteenused elanikkonnale'!I29</f>
        <v>2.14</v>
      </c>
      <c r="C25" s="207">
        <f>'Veeteenused ettevõtetele'!H28</f>
        <v>3.08</v>
      </c>
    </row>
    <row r="26" spans="1:3" ht="12.75">
      <c r="A26" s="12" t="s">
        <v>49</v>
      </c>
      <c r="B26" s="207">
        <f>'Veeteenused elanikkonnale'!I30</f>
        <v>2.39</v>
      </c>
      <c r="C26" s="207">
        <f>'Veeteenused ettevõtetele'!H29</f>
        <v>2.39</v>
      </c>
    </row>
    <row r="27" spans="1:3" ht="12.75">
      <c r="A27" s="12" t="s">
        <v>44</v>
      </c>
      <c r="B27" s="207">
        <f>'Veeteenused elanikkonnale'!I31</f>
        <v>2.58</v>
      </c>
      <c r="C27" s="207">
        <f>'Veeteenused ettevõtetele'!H30</f>
        <v>2.88</v>
      </c>
    </row>
    <row r="28" spans="1:3" ht="12.75">
      <c r="A28" s="12" t="s">
        <v>48</v>
      </c>
      <c r="B28" s="207">
        <f>'Veeteenused elanikkonnale'!I32</f>
        <v>2.2</v>
      </c>
      <c r="C28" s="207">
        <f>'Veeteenused ettevõtetele'!H31</f>
        <v>2.73</v>
      </c>
    </row>
    <row r="29" spans="1:3" ht="12.75">
      <c r="A29" s="21" t="s">
        <v>50</v>
      </c>
      <c r="B29" s="207">
        <f>'Veeteenused elanikkonnale'!I33</f>
        <v>1.62</v>
      </c>
      <c r="C29" s="207">
        <f>'Veeteenused ettevõtetele'!H32</f>
        <v>1.634</v>
      </c>
    </row>
    <row r="30" spans="1:3" ht="12.75">
      <c r="A30" s="12" t="s">
        <v>52</v>
      </c>
      <c r="B30" s="207">
        <f>'Veeteenused elanikkonnale'!I34</f>
        <v>1.98</v>
      </c>
      <c r="C30" s="207">
        <f>'Veeteenused ettevõtetele'!H33</f>
        <v>1.98</v>
      </c>
    </row>
    <row r="31" spans="1:3" ht="12.75">
      <c r="A31" s="12" t="s">
        <v>56</v>
      </c>
      <c r="B31" s="207">
        <f>'Veeteenused elanikkonnale'!I35</f>
        <v>1.7999999999999998</v>
      </c>
      <c r="C31" s="207">
        <f>'Veeteenused ettevõtetele'!H34</f>
        <v>3.38</v>
      </c>
    </row>
    <row r="32" spans="1:3" ht="12.75">
      <c r="A32" s="12" t="s">
        <v>53</v>
      </c>
      <c r="B32" s="207">
        <f>'Veeteenused elanikkonnale'!I36</f>
        <v>1.63</v>
      </c>
      <c r="C32" s="207">
        <f>'Veeteenused ettevõtetele'!H35</f>
        <v>1.9700000000000002</v>
      </c>
    </row>
    <row r="33" spans="1:3" ht="12.75">
      <c r="A33" s="12" t="s">
        <v>91</v>
      </c>
      <c r="B33" s="207">
        <f>'Veeteenused elanikkonnale'!I37</f>
        <v>2.64</v>
      </c>
      <c r="C33" s="207">
        <f>'Veeteenused ettevõtetele'!H36</f>
        <v>5.07</v>
      </c>
    </row>
    <row r="34" spans="1:3" ht="12.75">
      <c r="A34" s="12" t="s">
        <v>57</v>
      </c>
      <c r="B34" s="207">
        <f>'Veeteenused elanikkonnale'!I38</f>
        <v>2.07</v>
      </c>
      <c r="C34" s="207">
        <f>'Veeteenused ettevõtetele'!H37</f>
        <v>4.843999999999999</v>
      </c>
    </row>
    <row r="35" spans="1:3" ht="12.75">
      <c r="A35" s="12" t="s">
        <v>155</v>
      </c>
      <c r="B35" s="207">
        <f>'Veeteenused elanikkonnale'!I39</f>
        <v>2.43</v>
      </c>
      <c r="C35" s="207">
        <f>'Veeteenused ettevõtetele'!H38</f>
        <v>2.8600000000000003</v>
      </c>
    </row>
    <row r="36" spans="1:3" ht="12.75">
      <c r="A36" s="12" t="s">
        <v>60</v>
      </c>
      <c r="B36" s="207">
        <f>'Veeteenused elanikkonnale'!I40</f>
        <v>1.9</v>
      </c>
      <c r="C36" s="207">
        <f>'Veeteenused ettevõtetele'!H39</f>
        <v>1.9</v>
      </c>
    </row>
    <row r="37" spans="1:3" ht="12.75">
      <c r="A37" s="12" t="s">
        <v>156</v>
      </c>
      <c r="B37" s="207">
        <f>'Veeteenused elanikkonnale'!I41</f>
        <v>2.46</v>
      </c>
      <c r="C37" s="207">
        <f>'Veeteenused ettevõtetele'!H40</f>
        <v>2.4648000000000003</v>
      </c>
    </row>
    <row r="38" spans="1:3" ht="12.75">
      <c r="A38" s="12" t="s">
        <v>63</v>
      </c>
      <c r="B38" s="207">
        <f>'Veeteenused elanikkonnale'!I42</f>
        <v>2.04</v>
      </c>
      <c r="C38" s="207">
        <f>'Veeteenused ettevõtetele'!H41</f>
        <v>2.41</v>
      </c>
    </row>
    <row r="39" spans="1:3" ht="12.75">
      <c r="A39" s="12" t="s">
        <v>64</v>
      </c>
      <c r="B39" s="207">
        <f>'Veeteenused elanikkonnale'!I43</f>
        <v>2.62</v>
      </c>
      <c r="C39" s="207">
        <f>'Veeteenused ettevõtetele'!H42</f>
        <v>2.62</v>
      </c>
    </row>
    <row r="40" spans="1:3" ht="12.75">
      <c r="A40" s="12" t="s">
        <v>68</v>
      </c>
      <c r="B40" s="207">
        <f>'Veeteenused elanikkonnale'!I45</f>
        <v>2.06</v>
      </c>
      <c r="C40" s="207">
        <f>'Veeteenused ettevõtetele'!H44</f>
        <v>2.06</v>
      </c>
    </row>
    <row r="41" spans="1:3" ht="12.75">
      <c r="A41" s="12" t="s">
        <v>111</v>
      </c>
      <c r="B41" s="207">
        <f>'Veeteenused elanikkonnale'!I46</f>
        <v>4.609999999999999</v>
      </c>
      <c r="C41" s="207">
        <f>'Veeteenused ettevõtetele'!H45</f>
        <v>3.33</v>
      </c>
    </row>
    <row r="42" spans="1:3" ht="12.75">
      <c r="A42" s="12" t="s">
        <v>157</v>
      </c>
      <c r="B42" s="207">
        <f>'Veeteenused elanikkonnale'!I47</f>
        <v>3.85</v>
      </c>
      <c r="C42" s="207">
        <f>'Veeteenused ettevõtetele'!H46</f>
        <v>4.4</v>
      </c>
    </row>
    <row r="43" spans="1:3" ht="13.5" thickBot="1">
      <c r="A43" s="12" t="s">
        <v>66</v>
      </c>
      <c r="B43" s="31">
        <f>'Veeteenused elanikkonnale'!I48</f>
        <v>1.9899999999999998</v>
      </c>
      <c r="C43" s="31">
        <f>'Veeteenused ettevõtetele'!H47</f>
        <v>1.9899999999999998</v>
      </c>
    </row>
    <row r="44" spans="1:3" ht="13.5" thickBot="1">
      <c r="A44" s="16" t="s">
        <v>127</v>
      </c>
      <c r="B44" s="32">
        <f>AVERAGE(B5:B43)</f>
        <v>2.5172564102564103</v>
      </c>
      <c r="C44" s="33">
        <f>AVERAGE(C5:C43)</f>
        <v>2.873353846153846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3"/>
  <sheetViews>
    <sheetView tabSelected="1" zoomScalePageLayoutView="0" workbookViewId="0" topLeftCell="A7">
      <selection activeCell="B18" sqref="B18"/>
    </sheetView>
  </sheetViews>
  <sheetFormatPr defaultColWidth="9.140625" defaultRowHeight="12.75"/>
  <cols>
    <col min="1" max="1" width="108.421875" style="0" customWidth="1"/>
  </cols>
  <sheetData>
    <row r="2" ht="28.5" customHeight="1">
      <c r="A2" s="143" t="s">
        <v>196</v>
      </c>
    </row>
    <row r="3" ht="13.5" customHeight="1">
      <c r="A3" s="143"/>
    </row>
    <row r="4" ht="25.5">
      <c r="A4" s="144" t="s">
        <v>134</v>
      </c>
    </row>
    <row r="5" ht="12.75">
      <c r="A5" s="145"/>
    </row>
    <row r="6" ht="25.5">
      <c r="A6" s="144" t="s">
        <v>135</v>
      </c>
    </row>
    <row r="7" ht="12.75">
      <c r="A7" s="145"/>
    </row>
    <row r="8" ht="12.75">
      <c r="A8" s="147" t="s">
        <v>150</v>
      </c>
    </row>
    <row r="9" ht="12.75">
      <c r="A9" s="146" t="s">
        <v>140</v>
      </c>
    </row>
    <row r="10" ht="12.75">
      <c r="A10" s="145" t="s">
        <v>199</v>
      </c>
    </row>
    <row r="11" ht="12.75">
      <c r="A11" s="145" t="s">
        <v>136</v>
      </c>
    </row>
    <row r="12" ht="12.75">
      <c r="A12" s="145" t="s">
        <v>137</v>
      </c>
    </row>
    <row r="13" ht="12.75">
      <c r="A13" s="145" t="s">
        <v>138</v>
      </c>
    </row>
    <row r="14" ht="12.75">
      <c r="A14" s="145" t="s">
        <v>139</v>
      </c>
    </row>
    <row r="15" ht="12.75">
      <c r="A15" s="145"/>
    </row>
    <row r="16" ht="12.75">
      <c r="A16" s="145"/>
    </row>
    <row r="17" ht="12.75">
      <c r="A17" s="147" t="s">
        <v>151</v>
      </c>
    </row>
    <row r="18" ht="12.75">
      <c r="A18" s="146" t="s">
        <v>142</v>
      </c>
    </row>
    <row r="19" ht="12.75">
      <c r="A19" s="145" t="s">
        <v>197</v>
      </c>
    </row>
    <row r="20" ht="12.75">
      <c r="A20" s="145" t="s">
        <v>141</v>
      </c>
    </row>
    <row r="21" ht="12.75">
      <c r="A21" s="145" t="s">
        <v>143</v>
      </c>
    </row>
    <row r="22" ht="12.75">
      <c r="A22" s="145" t="s">
        <v>144</v>
      </c>
    </row>
    <row r="23" ht="12.75">
      <c r="A23" s="145" t="s">
        <v>145</v>
      </c>
    </row>
    <row r="24" ht="12.75">
      <c r="A24" s="145"/>
    </row>
    <row r="25" ht="12.75">
      <c r="A25" s="146" t="s">
        <v>133</v>
      </c>
    </row>
    <row r="26" ht="12.75">
      <c r="A26" s="146" t="s">
        <v>142</v>
      </c>
    </row>
    <row r="27" ht="12.75">
      <c r="A27" s="145" t="s">
        <v>200</v>
      </c>
    </row>
    <row r="28" ht="12.75">
      <c r="A28" s="145" t="s">
        <v>149</v>
      </c>
    </row>
    <row r="29" ht="12.75">
      <c r="A29" s="145" t="s">
        <v>146</v>
      </c>
    </row>
    <row r="30" ht="12.75">
      <c r="A30" s="145" t="s">
        <v>147</v>
      </c>
    </row>
    <row r="31" ht="12.75">
      <c r="A31" s="145" t="s">
        <v>148</v>
      </c>
    </row>
    <row r="32" ht="12.75">
      <c r="A32" s="145"/>
    </row>
    <row r="33" ht="12.75">
      <c r="A33" s="1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115" zoomScaleNormal="190" zoomScaleSheetLayoutView="115" zoomScalePageLayoutView="0" workbookViewId="0" topLeftCell="A17">
      <pane xSplit="1" topLeftCell="B1" activePane="topRight" state="frozen"/>
      <selection pane="topLeft" activeCell="A1" sqref="A1"/>
      <selection pane="topRight" activeCell="F37" sqref="F37"/>
    </sheetView>
  </sheetViews>
  <sheetFormatPr defaultColWidth="9.140625" defaultRowHeight="12.75"/>
  <cols>
    <col min="1" max="1" width="20.421875" style="26" customWidth="1"/>
    <col min="2" max="2" width="12.140625" style="26" customWidth="1"/>
    <col min="3" max="3" width="9.28125" style="26" customWidth="1"/>
    <col min="4" max="4" width="9.57421875" style="26" customWidth="1"/>
    <col min="5" max="5" width="10.00390625" style="26" bestFit="1" customWidth="1"/>
    <col min="6" max="6" width="10.00390625" style="26" customWidth="1"/>
    <col min="7" max="7" width="8.421875" style="26" customWidth="1"/>
    <col min="8" max="8" width="8.8515625" style="26" customWidth="1"/>
    <col min="9" max="10" width="9.140625" style="26" customWidth="1"/>
    <col min="11" max="11" width="8.7109375" style="26" customWidth="1"/>
    <col min="12" max="12" width="9.00390625" style="26" customWidth="1"/>
    <col min="13" max="13" width="9.8515625" style="26" customWidth="1"/>
    <col min="14" max="14" width="8.7109375" style="26" customWidth="1"/>
    <col min="15" max="16" width="11.8515625" style="26" customWidth="1"/>
    <col min="17" max="16384" width="9.140625" style="26" customWidth="1"/>
  </cols>
  <sheetData>
    <row r="1" spans="1:18" ht="15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1</v>
      </c>
      <c r="N1" s="41"/>
      <c r="R1" s="42"/>
    </row>
    <row r="2" spans="1:14" ht="12.75">
      <c r="A2" s="64"/>
      <c r="B2" s="65"/>
      <c r="C2" s="66" t="s">
        <v>2</v>
      </c>
      <c r="D2" s="66" t="s">
        <v>2</v>
      </c>
      <c r="E2" s="66" t="s">
        <v>3</v>
      </c>
      <c r="F2" s="66" t="s">
        <v>3</v>
      </c>
      <c r="G2" s="67" t="s">
        <v>4</v>
      </c>
      <c r="H2" s="67" t="s">
        <v>4</v>
      </c>
      <c r="I2" s="68" t="s">
        <v>5</v>
      </c>
      <c r="J2" s="68" t="s">
        <v>5</v>
      </c>
      <c r="K2" s="66" t="s">
        <v>6</v>
      </c>
      <c r="L2" s="66" t="s">
        <v>6</v>
      </c>
      <c r="M2" s="66" t="s">
        <v>6</v>
      </c>
      <c r="N2" s="69" t="s">
        <v>6</v>
      </c>
    </row>
    <row r="3" spans="1:14" ht="12.75">
      <c r="A3" s="70"/>
      <c r="B3" s="71" t="s">
        <v>7</v>
      </c>
      <c r="C3" s="72"/>
      <c r="D3" s="72"/>
      <c r="E3" s="72" t="s">
        <v>8</v>
      </c>
      <c r="F3" s="72" t="s">
        <v>8</v>
      </c>
      <c r="G3" s="72" t="s">
        <v>9</v>
      </c>
      <c r="H3" s="72" t="s">
        <v>9</v>
      </c>
      <c r="I3" s="72" t="s">
        <v>9</v>
      </c>
      <c r="J3" s="72" t="s">
        <v>9</v>
      </c>
      <c r="K3" s="72" t="s">
        <v>10</v>
      </c>
      <c r="L3" s="72" t="s">
        <v>10</v>
      </c>
      <c r="M3" s="72" t="s">
        <v>10</v>
      </c>
      <c r="N3" s="73" t="s">
        <v>10</v>
      </c>
    </row>
    <row r="4" spans="1:14" ht="12.75">
      <c r="A4" s="74" t="s">
        <v>11</v>
      </c>
      <c r="B4" s="71" t="s">
        <v>12</v>
      </c>
      <c r="C4" s="72"/>
      <c r="D4" s="72"/>
      <c r="E4" s="72"/>
      <c r="F4" s="72"/>
      <c r="G4" s="72" t="s">
        <v>13</v>
      </c>
      <c r="H4" s="72" t="s">
        <v>13</v>
      </c>
      <c r="I4" s="72" t="s">
        <v>13</v>
      </c>
      <c r="J4" s="72" t="s">
        <v>13</v>
      </c>
      <c r="K4" s="72" t="s">
        <v>14</v>
      </c>
      <c r="L4" s="72" t="s">
        <v>14</v>
      </c>
      <c r="M4" s="72" t="s">
        <v>14</v>
      </c>
      <c r="N4" s="73" t="s">
        <v>14</v>
      </c>
    </row>
    <row r="5" spans="1:14" ht="12.75">
      <c r="A5" s="70"/>
      <c r="B5" s="75"/>
      <c r="C5" s="72" t="s">
        <v>15</v>
      </c>
      <c r="D5" s="72" t="s">
        <v>15</v>
      </c>
      <c r="E5" s="72" t="s">
        <v>15</v>
      </c>
      <c r="F5" s="72" t="s">
        <v>15</v>
      </c>
      <c r="G5" s="72" t="s">
        <v>16</v>
      </c>
      <c r="H5" s="72" t="s">
        <v>16</v>
      </c>
      <c r="I5" s="72" t="s">
        <v>16</v>
      </c>
      <c r="J5" s="72" t="s">
        <v>16</v>
      </c>
      <c r="K5" s="72" t="s">
        <v>17</v>
      </c>
      <c r="L5" s="72" t="s">
        <v>18</v>
      </c>
      <c r="M5" s="72" t="s">
        <v>19</v>
      </c>
      <c r="N5" s="73" t="s">
        <v>18</v>
      </c>
    </row>
    <row r="6" spans="1:14" ht="12.75">
      <c r="A6" s="76"/>
      <c r="B6" s="77"/>
      <c r="C6" s="78"/>
      <c r="D6" s="78"/>
      <c r="E6" s="78"/>
      <c r="F6" s="78"/>
      <c r="G6" s="78" t="s">
        <v>121</v>
      </c>
      <c r="H6" s="78" t="s">
        <v>121</v>
      </c>
      <c r="I6" s="78" t="s">
        <v>121</v>
      </c>
      <c r="J6" s="78" t="s">
        <v>121</v>
      </c>
      <c r="K6" s="79" t="s">
        <v>20</v>
      </c>
      <c r="L6" s="79" t="s">
        <v>20</v>
      </c>
      <c r="M6" s="79" t="s">
        <v>20</v>
      </c>
      <c r="N6" s="80" t="s">
        <v>20</v>
      </c>
    </row>
    <row r="7" spans="1:14" ht="12.75">
      <c r="A7" s="81"/>
      <c r="B7" s="82"/>
      <c r="C7" s="83" t="s">
        <v>21</v>
      </c>
      <c r="D7" s="83" t="s">
        <v>22</v>
      </c>
      <c r="E7" s="83" t="s">
        <v>21</v>
      </c>
      <c r="F7" s="83" t="s">
        <v>22</v>
      </c>
      <c r="G7" s="83" t="s">
        <v>21</v>
      </c>
      <c r="H7" s="82" t="s">
        <v>22</v>
      </c>
      <c r="I7" s="82" t="s">
        <v>21</v>
      </c>
      <c r="J7" s="84" t="s">
        <v>22</v>
      </c>
      <c r="K7" s="82" t="s">
        <v>21</v>
      </c>
      <c r="L7" s="82" t="s">
        <v>21</v>
      </c>
      <c r="M7" s="85" t="s">
        <v>22</v>
      </c>
      <c r="N7" s="86" t="s">
        <v>22</v>
      </c>
    </row>
    <row r="8" spans="1:14" s="160" customFormat="1" ht="12.75">
      <c r="A8" s="176" t="s">
        <v>152</v>
      </c>
      <c r="B8" s="227" t="s">
        <v>115</v>
      </c>
      <c r="C8" s="177">
        <v>370.89</v>
      </c>
      <c r="D8" s="177">
        <v>121.416</v>
      </c>
      <c r="E8" s="177">
        <v>356.168</v>
      </c>
      <c r="F8" s="177">
        <v>117.224</v>
      </c>
      <c r="G8" s="177">
        <v>46.479</v>
      </c>
      <c r="H8" s="177">
        <v>25.025</v>
      </c>
      <c r="I8" s="177">
        <v>46.48</v>
      </c>
      <c r="J8" s="177">
        <v>25.024</v>
      </c>
      <c r="K8" s="174">
        <f>(G8/C8)*1.2</f>
        <v>0.1503809754913856</v>
      </c>
      <c r="L8" s="174">
        <f>(I8/E8)*1.2</f>
        <v>0.15660025605893846</v>
      </c>
      <c r="M8" s="174">
        <v>0</v>
      </c>
      <c r="N8" s="174">
        <v>0</v>
      </c>
    </row>
    <row r="9" spans="1:14" s="6" customFormat="1" ht="12.75">
      <c r="A9" s="12" t="s">
        <v>25</v>
      </c>
      <c r="B9" s="12"/>
      <c r="C9" s="7">
        <v>356.13</v>
      </c>
      <c r="D9" s="7">
        <v>220.125</v>
      </c>
      <c r="E9" s="7">
        <v>364.637</v>
      </c>
      <c r="F9" s="7">
        <v>190.518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spans="1:14" s="160" customFormat="1" ht="12.75">
      <c r="A10" s="176" t="s">
        <v>177</v>
      </c>
      <c r="B10" s="178" t="s">
        <v>158</v>
      </c>
      <c r="C10" s="174">
        <v>119.9</v>
      </c>
      <c r="D10" s="174">
        <v>0</v>
      </c>
      <c r="E10" s="174">
        <v>115.7</v>
      </c>
      <c r="F10" s="174">
        <v>0</v>
      </c>
      <c r="G10" s="177">
        <v>15.3</v>
      </c>
      <c r="H10" s="177">
        <v>0</v>
      </c>
      <c r="I10" s="177">
        <v>11.4</v>
      </c>
      <c r="J10" s="177">
        <v>0</v>
      </c>
      <c r="K10" s="174">
        <f>(G10/C10)*1.2</f>
        <v>0.15312760633861552</v>
      </c>
      <c r="L10" s="174">
        <f>(I10/E10)*1.2</f>
        <v>0.11823681936041487</v>
      </c>
      <c r="M10" s="174">
        <v>0</v>
      </c>
      <c r="N10" s="174">
        <v>0</v>
      </c>
    </row>
    <row r="11" spans="1:14" s="6" customFormat="1" ht="12.75">
      <c r="A11" s="12" t="s">
        <v>153</v>
      </c>
      <c r="B11" s="12" t="s">
        <v>23</v>
      </c>
      <c r="C11" s="7">
        <v>397.933</v>
      </c>
      <c r="D11" s="7">
        <v>173.28</v>
      </c>
      <c r="E11" s="7">
        <v>381.248</v>
      </c>
      <c r="F11" s="7">
        <v>160.987</v>
      </c>
      <c r="G11" s="141">
        <v>0</v>
      </c>
      <c r="H11" s="141">
        <v>0</v>
      </c>
      <c r="I11" s="141">
        <v>0</v>
      </c>
      <c r="J11" s="141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6" customFormat="1" ht="12.75">
      <c r="A12" s="12" t="s">
        <v>95</v>
      </c>
      <c r="B12" s="12" t="s">
        <v>24</v>
      </c>
      <c r="C12" s="7">
        <v>42.948</v>
      </c>
      <c r="D12" s="7">
        <v>16.048</v>
      </c>
      <c r="E12" s="7">
        <v>43.136</v>
      </c>
      <c r="F12" s="7">
        <v>14.554</v>
      </c>
      <c r="G12" s="141">
        <v>0</v>
      </c>
      <c r="H12" s="141">
        <v>0</v>
      </c>
      <c r="I12" s="141">
        <v>0</v>
      </c>
      <c r="J12" s="141">
        <v>0</v>
      </c>
      <c r="K12" s="7">
        <v>0</v>
      </c>
      <c r="L12" s="7">
        <f>(I12/E12)*1.2</f>
        <v>0</v>
      </c>
      <c r="M12" s="141">
        <v>0</v>
      </c>
      <c r="N12" s="141">
        <v>0</v>
      </c>
    </row>
    <row r="13" spans="1:14" s="6" customFormat="1" ht="12.75">
      <c r="A13" s="12" t="s">
        <v>27</v>
      </c>
      <c r="B13" s="228" t="s">
        <v>28</v>
      </c>
      <c r="C13" s="7">
        <v>25.322</v>
      </c>
      <c r="D13" s="7">
        <v>4.205</v>
      </c>
      <c r="E13" s="7">
        <v>29.742</v>
      </c>
      <c r="F13" s="7">
        <v>8.984</v>
      </c>
      <c r="G13" s="141">
        <v>0</v>
      </c>
      <c r="H13" s="141">
        <v>0</v>
      </c>
      <c r="I13" s="141">
        <v>0</v>
      </c>
      <c r="J13" s="141">
        <v>0</v>
      </c>
      <c r="K13" s="7">
        <f aca="true" t="shared" si="0" ref="K13:K46">(G13/C13)*1.2</f>
        <v>0</v>
      </c>
      <c r="L13" s="7">
        <f aca="true" t="shared" si="1" ref="L13:L46">(I13/E13)*1.2</f>
        <v>0</v>
      </c>
      <c r="M13" s="7">
        <f aca="true" t="shared" si="2" ref="M13:M46">(H13/D13)*1.2</f>
        <v>0</v>
      </c>
      <c r="N13" s="7">
        <f aca="true" t="shared" si="3" ref="N13:N46">(J13/F13)*1.2</f>
        <v>0</v>
      </c>
    </row>
    <row r="14" spans="1:14" s="160" customFormat="1" ht="14.25" customHeight="1">
      <c r="A14" s="176" t="s">
        <v>29</v>
      </c>
      <c r="B14" s="178" t="s">
        <v>30</v>
      </c>
      <c r="C14" s="174">
        <v>1875.429</v>
      </c>
      <c r="D14" s="174">
        <v>285.842</v>
      </c>
      <c r="E14" s="174">
        <v>1642.902</v>
      </c>
      <c r="F14" s="174">
        <v>269.41</v>
      </c>
      <c r="G14" s="177">
        <v>20.819</v>
      </c>
      <c r="H14" s="177">
        <v>28.637</v>
      </c>
      <c r="I14" s="177">
        <v>0</v>
      </c>
      <c r="J14" s="177">
        <v>0</v>
      </c>
      <c r="K14" s="174">
        <f t="shared" si="0"/>
        <v>0.013321112129544758</v>
      </c>
      <c r="L14" s="174">
        <f t="shared" si="1"/>
        <v>0</v>
      </c>
      <c r="M14" s="174">
        <f t="shared" si="2"/>
        <v>0.12022166091756986</v>
      </c>
      <c r="N14" s="174">
        <f t="shared" si="3"/>
        <v>0</v>
      </c>
    </row>
    <row r="15" spans="1:14" s="6" customFormat="1" ht="12.75">
      <c r="A15" s="12" t="s">
        <v>26</v>
      </c>
      <c r="B15" s="21" t="s">
        <v>159</v>
      </c>
      <c r="C15" s="7">
        <v>122.395</v>
      </c>
      <c r="D15" s="7">
        <v>38.862</v>
      </c>
      <c r="E15" s="7">
        <v>121.186</v>
      </c>
      <c r="F15" s="7">
        <v>46.274</v>
      </c>
      <c r="G15" s="141">
        <v>0</v>
      </c>
      <c r="H15" s="141">
        <v>0</v>
      </c>
      <c r="I15" s="141">
        <v>0</v>
      </c>
      <c r="J15" s="141">
        <v>0</v>
      </c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3"/>
        <v>0</v>
      </c>
    </row>
    <row r="16" spans="1:14" s="6" customFormat="1" ht="12.75">
      <c r="A16" s="12" t="s">
        <v>31</v>
      </c>
      <c r="B16" s="12" t="s">
        <v>32</v>
      </c>
      <c r="C16" s="7">
        <v>75.198</v>
      </c>
      <c r="D16" s="7">
        <v>24.479</v>
      </c>
      <c r="E16" s="7">
        <v>73.46</v>
      </c>
      <c r="F16" s="7">
        <v>15.72</v>
      </c>
      <c r="G16" s="141">
        <v>0</v>
      </c>
      <c r="H16" s="141">
        <v>0</v>
      </c>
      <c r="I16" s="141">
        <v>0</v>
      </c>
      <c r="J16" s="141">
        <v>0</v>
      </c>
      <c r="K16" s="7">
        <f t="shared" si="0"/>
        <v>0</v>
      </c>
      <c r="L16" s="7">
        <f t="shared" si="1"/>
        <v>0</v>
      </c>
      <c r="M16" s="7">
        <f t="shared" si="2"/>
        <v>0</v>
      </c>
      <c r="N16" s="7">
        <f t="shared" si="3"/>
        <v>0</v>
      </c>
    </row>
    <row r="17" spans="1:14" s="6" customFormat="1" ht="12.75">
      <c r="A17" s="12" t="s">
        <v>41</v>
      </c>
      <c r="B17" s="12" t="s">
        <v>160</v>
      </c>
      <c r="C17" s="7">
        <v>90.614</v>
      </c>
      <c r="D17" s="7">
        <v>42.446</v>
      </c>
      <c r="E17" s="7">
        <v>86.646</v>
      </c>
      <c r="F17" s="7">
        <v>33.721</v>
      </c>
      <c r="G17" s="141">
        <v>0</v>
      </c>
      <c r="H17" s="141">
        <v>0</v>
      </c>
      <c r="I17" s="141">
        <v>0</v>
      </c>
      <c r="J17" s="141">
        <v>0</v>
      </c>
      <c r="K17" s="7">
        <f>(G17/C17)*1.2</f>
        <v>0</v>
      </c>
      <c r="L17" s="7">
        <f>(I17/E17)*1.2</f>
        <v>0</v>
      </c>
      <c r="M17" s="7">
        <f>(H17/D17)*1.2</f>
        <v>0</v>
      </c>
      <c r="N17" s="7">
        <f>(J17/F17)*1.2</f>
        <v>0</v>
      </c>
    </row>
    <row r="18" spans="1:14" s="160" customFormat="1" ht="12.75">
      <c r="A18" s="176" t="s">
        <v>33</v>
      </c>
      <c r="B18" s="227" t="s">
        <v>161</v>
      </c>
      <c r="C18" s="174">
        <v>276.25</v>
      </c>
      <c r="D18" s="174">
        <v>67.174</v>
      </c>
      <c r="E18" s="174">
        <v>269.394</v>
      </c>
      <c r="F18" s="174">
        <v>110.749</v>
      </c>
      <c r="G18" s="177">
        <v>32</v>
      </c>
      <c r="H18" s="177">
        <v>5.583</v>
      </c>
      <c r="I18" s="177">
        <v>31.455</v>
      </c>
      <c r="J18" s="177">
        <v>7.805</v>
      </c>
      <c r="K18" s="174">
        <f>(G18/C18)*1.2</f>
        <v>0.13900452488687784</v>
      </c>
      <c r="L18" s="174">
        <f>(I18/E18)*1.2</f>
        <v>0.14011447916434663</v>
      </c>
      <c r="M18" s="174">
        <f>(H18/D18)*1.2</f>
        <v>0.09973501652425044</v>
      </c>
      <c r="N18" s="174">
        <f>(J18/F18)*1.2</f>
        <v>0.08456961236670309</v>
      </c>
    </row>
    <row r="19" spans="1:14" s="160" customFormat="1" ht="12.75">
      <c r="A19" s="176" t="s">
        <v>112</v>
      </c>
      <c r="B19" s="227" t="s">
        <v>113</v>
      </c>
      <c r="C19" s="174">
        <v>93.175</v>
      </c>
      <c r="D19" s="174">
        <v>12.663</v>
      </c>
      <c r="E19" s="174">
        <v>87.622</v>
      </c>
      <c r="F19" s="174">
        <v>8.322</v>
      </c>
      <c r="G19" s="177">
        <v>13.697</v>
      </c>
      <c r="H19" s="177">
        <v>0.71</v>
      </c>
      <c r="I19" s="177">
        <v>0</v>
      </c>
      <c r="J19" s="177">
        <v>0</v>
      </c>
      <c r="K19" s="174">
        <f t="shared" si="0"/>
        <v>0.17640354172256503</v>
      </c>
      <c r="L19" s="174">
        <f t="shared" si="1"/>
        <v>0</v>
      </c>
      <c r="M19" s="174">
        <f t="shared" si="2"/>
        <v>0.06728263444681355</v>
      </c>
      <c r="N19" s="174">
        <f t="shared" si="3"/>
        <v>0</v>
      </c>
    </row>
    <row r="20" spans="1:14" s="160" customFormat="1" ht="12.75">
      <c r="A20" s="176" t="s">
        <v>34</v>
      </c>
      <c r="B20" s="176" t="s">
        <v>88</v>
      </c>
      <c r="C20" s="174">
        <v>174.851</v>
      </c>
      <c r="D20" s="174">
        <v>63.417</v>
      </c>
      <c r="E20" s="174">
        <v>134.2</v>
      </c>
      <c r="F20" s="174">
        <v>39.996</v>
      </c>
      <c r="G20" s="177">
        <v>11.732</v>
      </c>
      <c r="H20" s="177">
        <v>1.949</v>
      </c>
      <c r="I20" s="177">
        <v>4.347</v>
      </c>
      <c r="J20" s="177">
        <v>1.782</v>
      </c>
      <c r="K20" s="174">
        <f t="shared" si="0"/>
        <v>0.08051655409462914</v>
      </c>
      <c r="L20" s="174">
        <f t="shared" si="1"/>
        <v>0.03887034277198212</v>
      </c>
      <c r="M20" s="174">
        <f t="shared" si="2"/>
        <v>0.036879701026538626</v>
      </c>
      <c r="N20" s="174">
        <f t="shared" si="3"/>
        <v>0.053465346534653464</v>
      </c>
    </row>
    <row r="21" spans="1:14" s="6" customFormat="1" ht="12.75">
      <c r="A21" s="12" t="s">
        <v>35</v>
      </c>
      <c r="B21" s="21" t="s">
        <v>36</v>
      </c>
      <c r="C21" s="7">
        <v>84.883</v>
      </c>
      <c r="D21" s="7">
        <v>60.143</v>
      </c>
      <c r="E21" s="7">
        <v>63.023</v>
      </c>
      <c r="F21" s="7">
        <v>59.375</v>
      </c>
      <c r="G21" s="141">
        <v>0</v>
      </c>
      <c r="H21" s="141">
        <v>0</v>
      </c>
      <c r="I21" s="141">
        <v>0</v>
      </c>
      <c r="J21" s="141">
        <v>0</v>
      </c>
      <c r="K21" s="7">
        <f t="shared" si="0"/>
        <v>0</v>
      </c>
      <c r="L21" s="7">
        <f t="shared" si="1"/>
        <v>0</v>
      </c>
      <c r="M21" s="7">
        <f t="shared" si="2"/>
        <v>0</v>
      </c>
      <c r="N21" s="7">
        <f t="shared" si="3"/>
        <v>0</v>
      </c>
    </row>
    <row r="22" spans="1:14" s="160" customFormat="1" ht="12.75">
      <c r="A22" s="176" t="s">
        <v>37</v>
      </c>
      <c r="B22" s="176" t="s">
        <v>38</v>
      </c>
      <c r="C22" s="174">
        <v>22.812</v>
      </c>
      <c r="D22" s="174">
        <v>98.947</v>
      </c>
      <c r="E22" s="174">
        <v>18.582</v>
      </c>
      <c r="F22" s="174">
        <v>94.252</v>
      </c>
      <c r="G22" s="177">
        <v>2.157</v>
      </c>
      <c r="H22" s="177">
        <v>10.545</v>
      </c>
      <c r="I22" s="177">
        <v>2.748</v>
      </c>
      <c r="J22" s="177">
        <v>14.76</v>
      </c>
      <c r="K22" s="174">
        <f>(G22/C22)*1.2</f>
        <v>0.11346659652814307</v>
      </c>
      <c r="L22" s="174">
        <f>(I22/E22)*1.2</f>
        <v>0.17746206005812076</v>
      </c>
      <c r="M22" s="174">
        <f>(H22/D22)*1.2</f>
        <v>0.1278866463864493</v>
      </c>
      <c r="N22" s="174">
        <f>(J22/F22)*1.2</f>
        <v>0.18792174171370368</v>
      </c>
    </row>
    <row r="23" spans="1:14" s="6" customFormat="1" ht="12.75">
      <c r="A23" s="12" t="s">
        <v>154</v>
      </c>
      <c r="B23" s="229" t="s">
        <v>114</v>
      </c>
      <c r="C23" s="7" t="s">
        <v>192</v>
      </c>
      <c r="D23" s="7"/>
      <c r="E23" s="7"/>
      <c r="F23" s="7"/>
      <c r="G23" s="141"/>
      <c r="H23" s="141"/>
      <c r="I23" s="141"/>
      <c r="J23" s="141"/>
      <c r="K23" s="7"/>
      <c r="L23" s="7"/>
      <c r="M23" s="7"/>
      <c r="N23" s="7"/>
    </row>
    <row r="24" spans="1:14" s="160" customFormat="1" ht="12.75">
      <c r="A24" s="178" t="s">
        <v>39</v>
      </c>
      <c r="B24" s="178" t="s">
        <v>40</v>
      </c>
      <c r="C24" s="174">
        <v>422.295</v>
      </c>
      <c r="D24" s="174">
        <v>290.297</v>
      </c>
      <c r="E24" s="174">
        <v>422.44</v>
      </c>
      <c r="F24" s="174">
        <v>381.943</v>
      </c>
      <c r="G24" s="177">
        <v>15.51</v>
      </c>
      <c r="H24" s="177">
        <v>5.651</v>
      </c>
      <c r="I24" s="177">
        <v>15.283</v>
      </c>
      <c r="J24" s="177">
        <v>5.503</v>
      </c>
      <c r="K24" s="174">
        <f t="shared" si="0"/>
        <v>0.04407345575959933</v>
      </c>
      <c r="L24" s="174">
        <f t="shared" si="1"/>
        <v>0.04341350250923207</v>
      </c>
      <c r="M24" s="174">
        <f t="shared" si="2"/>
        <v>0.02335952490036066</v>
      </c>
      <c r="N24" s="174">
        <f t="shared" si="3"/>
        <v>0.01728949084025627</v>
      </c>
    </row>
    <row r="25" spans="1:14" s="6" customFormat="1" ht="12.75">
      <c r="A25" s="12" t="s">
        <v>42</v>
      </c>
      <c r="B25" s="21" t="s">
        <v>94</v>
      </c>
      <c r="C25" s="7">
        <v>27.31</v>
      </c>
      <c r="D25" s="7">
        <v>16.998</v>
      </c>
      <c r="E25" s="7">
        <v>24.487</v>
      </c>
      <c r="F25" s="7">
        <v>3.704</v>
      </c>
      <c r="G25" s="141">
        <v>0</v>
      </c>
      <c r="H25" s="141">
        <v>0</v>
      </c>
      <c r="I25" s="141">
        <v>0</v>
      </c>
      <c r="J25" s="141">
        <v>0</v>
      </c>
      <c r="K25" s="7">
        <f t="shared" si="0"/>
        <v>0</v>
      </c>
      <c r="L25" s="7">
        <f t="shared" si="1"/>
        <v>0</v>
      </c>
      <c r="M25" s="7">
        <f t="shared" si="2"/>
        <v>0</v>
      </c>
      <c r="N25" s="7">
        <f t="shared" si="3"/>
        <v>0</v>
      </c>
    </row>
    <row r="26" spans="1:14" s="6" customFormat="1" ht="12.75">
      <c r="A26" s="12" t="s">
        <v>43</v>
      </c>
      <c r="B26" s="21"/>
      <c r="C26" s="7">
        <v>187.426</v>
      </c>
      <c r="D26" s="7">
        <v>65.299</v>
      </c>
      <c r="E26" s="7">
        <v>160.652</v>
      </c>
      <c r="F26" s="7">
        <v>63.998</v>
      </c>
      <c r="G26" s="141">
        <v>0</v>
      </c>
      <c r="H26" s="141">
        <v>0</v>
      </c>
      <c r="I26" s="141">
        <v>0</v>
      </c>
      <c r="J26" s="141">
        <v>0</v>
      </c>
      <c r="K26" s="7">
        <f t="shared" si="0"/>
        <v>0</v>
      </c>
      <c r="L26" s="7">
        <f t="shared" si="1"/>
        <v>0</v>
      </c>
      <c r="M26" s="7">
        <f t="shared" si="2"/>
        <v>0</v>
      </c>
      <c r="N26" s="7">
        <f t="shared" si="3"/>
        <v>0</v>
      </c>
    </row>
    <row r="27" spans="1:14" s="160" customFormat="1" ht="12.75">
      <c r="A27" s="176" t="s">
        <v>45</v>
      </c>
      <c r="B27" s="178" t="s">
        <v>46</v>
      </c>
      <c r="C27" s="174">
        <v>277.011</v>
      </c>
      <c r="D27" s="174">
        <v>137.324</v>
      </c>
      <c r="E27" s="174">
        <v>269.091</v>
      </c>
      <c r="F27" s="174">
        <v>130.633</v>
      </c>
      <c r="G27" s="177">
        <v>28.934</v>
      </c>
      <c r="H27" s="177">
        <v>23.455</v>
      </c>
      <c r="I27" s="177">
        <v>27.768</v>
      </c>
      <c r="J27" s="177">
        <v>18.953</v>
      </c>
      <c r="K27" s="174">
        <f t="shared" si="0"/>
        <v>0.12534087094014318</v>
      </c>
      <c r="L27" s="174">
        <f t="shared" si="1"/>
        <v>0.12383022843573363</v>
      </c>
      <c r="M27" s="174">
        <f t="shared" si="2"/>
        <v>0.20496053129824354</v>
      </c>
      <c r="N27" s="174">
        <f t="shared" si="3"/>
        <v>0.174103021441749</v>
      </c>
    </row>
    <row r="28" spans="1:14" s="6" customFormat="1" ht="12.75">
      <c r="A28" s="12" t="s">
        <v>89</v>
      </c>
      <c r="B28" s="21" t="s">
        <v>47</v>
      </c>
      <c r="C28" s="7">
        <v>132.448</v>
      </c>
      <c r="D28" s="7">
        <v>65.668</v>
      </c>
      <c r="E28" s="7">
        <v>126.464</v>
      </c>
      <c r="F28" s="7">
        <v>43.578</v>
      </c>
      <c r="G28" s="141">
        <v>0</v>
      </c>
      <c r="H28" s="141">
        <v>0</v>
      </c>
      <c r="I28" s="141">
        <v>0</v>
      </c>
      <c r="J28" s="141">
        <v>0</v>
      </c>
      <c r="K28" s="7">
        <f t="shared" si="0"/>
        <v>0</v>
      </c>
      <c r="L28" s="7">
        <f t="shared" si="1"/>
        <v>0</v>
      </c>
      <c r="M28" s="7">
        <f t="shared" si="2"/>
        <v>0</v>
      </c>
      <c r="N28" s="7">
        <f t="shared" si="3"/>
        <v>0</v>
      </c>
    </row>
    <row r="29" spans="1:14" s="6" customFormat="1" ht="12.75">
      <c r="A29" s="12" t="s">
        <v>49</v>
      </c>
      <c r="B29" s="21" t="s">
        <v>198</v>
      </c>
      <c r="C29" s="7">
        <v>1208.13</v>
      </c>
      <c r="D29" s="7">
        <v>984.14</v>
      </c>
      <c r="E29" s="7">
        <v>1184.4</v>
      </c>
      <c r="F29" s="7">
        <v>1035.3</v>
      </c>
      <c r="G29" s="141">
        <v>0</v>
      </c>
      <c r="H29" s="141">
        <v>0</v>
      </c>
      <c r="I29" s="141">
        <v>0</v>
      </c>
      <c r="J29" s="141">
        <v>0</v>
      </c>
      <c r="K29" s="7">
        <f t="shared" si="0"/>
        <v>0</v>
      </c>
      <c r="L29" s="7">
        <f t="shared" si="1"/>
        <v>0</v>
      </c>
      <c r="M29" s="7">
        <f t="shared" si="2"/>
        <v>0</v>
      </c>
      <c r="N29" s="7">
        <f t="shared" si="3"/>
        <v>0</v>
      </c>
    </row>
    <row r="30" spans="1:14" s="6" customFormat="1" ht="12.75">
      <c r="A30" s="12" t="s">
        <v>44</v>
      </c>
      <c r="B30" s="21" t="s">
        <v>162</v>
      </c>
      <c r="C30" s="7">
        <v>71.959</v>
      </c>
      <c r="D30" s="7">
        <v>23.073</v>
      </c>
      <c r="E30" s="7">
        <v>85.322</v>
      </c>
      <c r="F30" s="7">
        <v>237.595</v>
      </c>
      <c r="G30" s="141">
        <v>0</v>
      </c>
      <c r="H30" s="141">
        <v>0</v>
      </c>
      <c r="I30" s="141">
        <v>0</v>
      </c>
      <c r="J30" s="141">
        <v>0</v>
      </c>
      <c r="K30" s="7">
        <f t="shared" si="0"/>
        <v>0</v>
      </c>
      <c r="L30" s="7">
        <f t="shared" si="1"/>
        <v>0</v>
      </c>
      <c r="M30" s="7">
        <f t="shared" si="2"/>
        <v>0</v>
      </c>
      <c r="N30" s="7">
        <f t="shared" si="3"/>
        <v>0</v>
      </c>
    </row>
    <row r="31" spans="1:14" s="6" customFormat="1" ht="12.75">
      <c r="A31" s="12" t="s">
        <v>48</v>
      </c>
      <c r="B31" s="21" t="s">
        <v>163</v>
      </c>
      <c r="C31" s="7">
        <v>171.991</v>
      </c>
      <c r="D31" s="7">
        <v>61.242</v>
      </c>
      <c r="E31" s="7">
        <v>163.413</v>
      </c>
      <c r="F31" s="7">
        <v>282.391</v>
      </c>
      <c r="G31" s="141">
        <v>0</v>
      </c>
      <c r="H31" s="141">
        <v>0</v>
      </c>
      <c r="I31" s="141">
        <v>0</v>
      </c>
      <c r="J31" s="141">
        <v>0</v>
      </c>
      <c r="K31" s="7">
        <f t="shared" si="0"/>
        <v>0</v>
      </c>
      <c r="L31" s="7">
        <f t="shared" si="1"/>
        <v>0</v>
      </c>
      <c r="M31" s="7">
        <f t="shared" si="2"/>
        <v>0</v>
      </c>
      <c r="N31" s="7">
        <f t="shared" si="3"/>
        <v>0</v>
      </c>
    </row>
    <row r="32" spans="1:14" s="6" customFormat="1" ht="12.75">
      <c r="A32" s="21" t="s">
        <v>50</v>
      </c>
      <c r="B32" s="230" t="s">
        <v>51</v>
      </c>
      <c r="C32" s="7">
        <v>416.961</v>
      </c>
      <c r="D32" s="7">
        <v>161.955</v>
      </c>
      <c r="E32" s="7">
        <v>414.576</v>
      </c>
      <c r="F32" s="7">
        <v>746.644</v>
      </c>
      <c r="G32" s="141">
        <v>0</v>
      </c>
      <c r="H32" s="141">
        <v>0</v>
      </c>
      <c r="I32" s="141">
        <v>0</v>
      </c>
      <c r="J32" s="141">
        <v>0</v>
      </c>
      <c r="K32" s="7">
        <f t="shared" si="0"/>
        <v>0</v>
      </c>
      <c r="L32" s="7">
        <f t="shared" si="1"/>
        <v>0</v>
      </c>
      <c r="M32" s="7">
        <f t="shared" si="2"/>
        <v>0</v>
      </c>
      <c r="N32" s="7">
        <f t="shared" si="3"/>
        <v>0</v>
      </c>
    </row>
    <row r="33" spans="1:14" s="6" customFormat="1" ht="12.75">
      <c r="A33" s="12" t="s">
        <v>52</v>
      </c>
      <c r="B33" s="21" t="s">
        <v>131</v>
      </c>
      <c r="C33" s="7">
        <v>170.998</v>
      </c>
      <c r="D33" s="7">
        <v>87.695</v>
      </c>
      <c r="E33" s="7">
        <v>161.086</v>
      </c>
      <c r="F33" s="7">
        <v>121.297</v>
      </c>
      <c r="G33" s="141">
        <v>0</v>
      </c>
      <c r="H33" s="141">
        <v>0</v>
      </c>
      <c r="I33" s="141">
        <v>0</v>
      </c>
      <c r="J33" s="141">
        <v>0</v>
      </c>
      <c r="K33" s="7">
        <f t="shared" si="0"/>
        <v>0</v>
      </c>
      <c r="L33" s="7">
        <f t="shared" si="1"/>
        <v>0</v>
      </c>
      <c r="M33" s="7">
        <f t="shared" si="2"/>
        <v>0</v>
      </c>
      <c r="N33" s="7">
        <f t="shared" si="3"/>
        <v>0</v>
      </c>
    </row>
    <row r="34" spans="1:14" s="6" customFormat="1" ht="12.75">
      <c r="A34" s="12" t="s">
        <v>56</v>
      </c>
      <c r="B34" s="12" t="s">
        <v>110</v>
      </c>
      <c r="C34" s="7">
        <v>125.295</v>
      </c>
      <c r="D34" s="7">
        <v>84.127</v>
      </c>
      <c r="E34" s="7">
        <v>89.656</v>
      </c>
      <c r="F34" s="7">
        <v>210.789</v>
      </c>
      <c r="G34" s="141">
        <v>0</v>
      </c>
      <c r="H34" s="141">
        <v>0</v>
      </c>
      <c r="I34" s="141">
        <v>0</v>
      </c>
      <c r="J34" s="141">
        <v>0</v>
      </c>
      <c r="K34" s="7">
        <f>(G34/C34)*1.2</f>
        <v>0</v>
      </c>
      <c r="L34" s="7">
        <f>(I34/E34)*1.2</f>
        <v>0</v>
      </c>
      <c r="M34" s="7">
        <f>(H34/D34)*1.2</f>
        <v>0</v>
      </c>
      <c r="N34" s="7">
        <f>(J34/F34)*1.2</f>
        <v>0</v>
      </c>
    </row>
    <row r="35" spans="1:14" s="6" customFormat="1" ht="12.75">
      <c r="A35" s="12" t="s">
        <v>53</v>
      </c>
      <c r="B35" s="12" t="s">
        <v>54</v>
      </c>
      <c r="C35" s="7">
        <v>567.78</v>
      </c>
      <c r="D35" s="7">
        <v>64.127</v>
      </c>
      <c r="E35" s="7">
        <v>567.23</v>
      </c>
      <c r="F35" s="7">
        <v>192.562</v>
      </c>
      <c r="G35" s="141">
        <v>0</v>
      </c>
      <c r="H35" s="141">
        <v>0</v>
      </c>
      <c r="I35" s="141">
        <v>0</v>
      </c>
      <c r="J35" s="141">
        <v>0</v>
      </c>
      <c r="K35" s="7">
        <f>(G35/C35)*1.2</f>
        <v>0</v>
      </c>
      <c r="L35" s="7">
        <f>(I35/E35)*1.2</f>
        <v>0</v>
      </c>
      <c r="M35" s="7">
        <f>(H35/D35)*1.2</f>
        <v>0</v>
      </c>
      <c r="N35" s="7">
        <f>(J35/F35)*1.2</f>
        <v>0</v>
      </c>
    </row>
    <row r="36" spans="1:14" s="6" customFormat="1" ht="12.75">
      <c r="A36" s="12" t="s">
        <v>91</v>
      </c>
      <c r="B36" s="21" t="s">
        <v>55</v>
      </c>
      <c r="C36" s="7">
        <v>177.803</v>
      </c>
      <c r="D36" s="7">
        <v>42.071</v>
      </c>
      <c r="E36" s="7">
        <v>168.685</v>
      </c>
      <c r="F36" s="7">
        <v>40.561</v>
      </c>
      <c r="G36" s="141">
        <v>0</v>
      </c>
      <c r="H36" s="141">
        <v>0</v>
      </c>
      <c r="I36" s="141">
        <v>0</v>
      </c>
      <c r="J36" s="141">
        <v>0</v>
      </c>
      <c r="K36" s="7">
        <f t="shared" si="0"/>
        <v>0</v>
      </c>
      <c r="L36" s="7">
        <f t="shared" si="1"/>
        <v>0</v>
      </c>
      <c r="M36" s="7">
        <f t="shared" si="2"/>
        <v>0</v>
      </c>
      <c r="N36" s="7">
        <f t="shared" si="3"/>
        <v>0</v>
      </c>
    </row>
    <row r="37" spans="1:14" s="6" customFormat="1" ht="12.75">
      <c r="A37" s="12" t="s">
        <v>57</v>
      </c>
      <c r="B37" s="21" t="s">
        <v>58</v>
      </c>
      <c r="C37" s="7">
        <v>13.784</v>
      </c>
      <c r="D37" s="7">
        <v>5.312</v>
      </c>
      <c r="E37" s="7">
        <v>13.71</v>
      </c>
      <c r="F37" s="7">
        <v>11.263</v>
      </c>
      <c r="G37" s="141">
        <v>0</v>
      </c>
      <c r="H37" s="141">
        <v>0</v>
      </c>
      <c r="I37" s="141">
        <v>0</v>
      </c>
      <c r="J37" s="141">
        <v>0</v>
      </c>
      <c r="K37" s="7">
        <f t="shared" si="0"/>
        <v>0</v>
      </c>
      <c r="L37" s="7">
        <f t="shared" si="1"/>
        <v>0</v>
      </c>
      <c r="M37" s="7">
        <f t="shared" si="2"/>
        <v>0</v>
      </c>
      <c r="N37" s="7">
        <f t="shared" si="3"/>
        <v>0</v>
      </c>
    </row>
    <row r="38" spans="1:14" s="6" customFormat="1" ht="12.75">
      <c r="A38" s="12" t="s">
        <v>155</v>
      </c>
      <c r="B38" s="21" t="s">
        <v>59</v>
      </c>
      <c r="C38" s="7">
        <v>139.558</v>
      </c>
      <c r="D38" s="7">
        <v>86.085</v>
      </c>
      <c r="E38" s="7">
        <v>115.786</v>
      </c>
      <c r="F38" s="7">
        <v>85.021</v>
      </c>
      <c r="G38" s="141">
        <v>0</v>
      </c>
      <c r="H38" s="141">
        <v>0</v>
      </c>
      <c r="I38" s="141">
        <v>0</v>
      </c>
      <c r="J38" s="141">
        <v>0</v>
      </c>
      <c r="K38" s="7">
        <f t="shared" si="0"/>
        <v>0</v>
      </c>
      <c r="L38" s="7">
        <f t="shared" si="1"/>
        <v>0</v>
      </c>
      <c r="M38" s="7">
        <f t="shared" si="2"/>
        <v>0</v>
      </c>
      <c r="N38" s="7">
        <f t="shared" si="3"/>
        <v>0</v>
      </c>
    </row>
    <row r="39" spans="1:14" s="6" customFormat="1" ht="12.75">
      <c r="A39" s="12" t="s">
        <v>60</v>
      </c>
      <c r="B39" s="21" t="s">
        <v>61</v>
      </c>
      <c r="C39" s="7">
        <v>2876.321</v>
      </c>
      <c r="D39" s="7">
        <v>1409.825</v>
      </c>
      <c r="E39" s="7">
        <v>2880.639</v>
      </c>
      <c r="F39" s="7">
        <v>1846.094</v>
      </c>
      <c r="G39" s="141">
        <v>0</v>
      </c>
      <c r="H39" s="141">
        <v>0</v>
      </c>
      <c r="I39" s="141">
        <v>0</v>
      </c>
      <c r="J39" s="141">
        <v>0</v>
      </c>
      <c r="K39" s="7">
        <f t="shared" si="0"/>
        <v>0</v>
      </c>
      <c r="L39" s="7">
        <f t="shared" si="1"/>
        <v>0</v>
      </c>
      <c r="M39" s="7">
        <f t="shared" si="2"/>
        <v>0</v>
      </c>
      <c r="N39" s="7">
        <f t="shared" si="3"/>
        <v>0</v>
      </c>
    </row>
    <row r="40" spans="1:14" s="6" customFormat="1" ht="12.75">
      <c r="A40" s="12" t="s">
        <v>156</v>
      </c>
      <c r="B40" s="21" t="s">
        <v>62</v>
      </c>
      <c r="C40" s="7">
        <v>40.951</v>
      </c>
      <c r="D40" s="7">
        <v>10.467</v>
      </c>
      <c r="E40" s="7">
        <v>38.825</v>
      </c>
      <c r="F40" s="7">
        <v>10.823</v>
      </c>
      <c r="G40" s="141">
        <v>0</v>
      </c>
      <c r="H40" s="141">
        <v>0</v>
      </c>
      <c r="I40" s="141">
        <v>0</v>
      </c>
      <c r="J40" s="141">
        <v>0</v>
      </c>
      <c r="K40" s="7">
        <f t="shared" si="0"/>
        <v>0</v>
      </c>
      <c r="L40" s="7">
        <f t="shared" si="1"/>
        <v>0</v>
      </c>
      <c r="M40" s="7">
        <f t="shared" si="2"/>
        <v>0</v>
      </c>
      <c r="N40" s="7">
        <f t="shared" si="3"/>
        <v>0</v>
      </c>
    </row>
    <row r="41" spans="1:14" s="6" customFormat="1" ht="12.75">
      <c r="A41" s="12" t="s">
        <v>63</v>
      </c>
      <c r="B41" s="12" t="s">
        <v>132</v>
      </c>
      <c r="C41" s="7">
        <v>146.027</v>
      </c>
      <c r="D41" s="7">
        <v>46.947</v>
      </c>
      <c r="E41" s="7">
        <v>158.198</v>
      </c>
      <c r="F41" s="7">
        <v>76.607</v>
      </c>
      <c r="G41" s="141">
        <v>0</v>
      </c>
      <c r="H41" s="141">
        <v>0</v>
      </c>
      <c r="I41" s="141">
        <v>0</v>
      </c>
      <c r="J41" s="141">
        <v>0</v>
      </c>
      <c r="K41" s="7">
        <f t="shared" si="0"/>
        <v>0</v>
      </c>
      <c r="L41" s="7">
        <f t="shared" si="1"/>
        <v>0</v>
      </c>
      <c r="M41" s="7">
        <f t="shared" si="2"/>
        <v>0</v>
      </c>
      <c r="N41" s="7">
        <f t="shared" si="3"/>
        <v>0</v>
      </c>
    </row>
    <row r="42" spans="1:14" s="6" customFormat="1" ht="12.75">
      <c r="A42" s="12" t="s">
        <v>64</v>
      </c>
      <c r="B42" s="21" t="s">
        <v>65</v>
      </c>
      <c r="C42" s="7">
        <v>249</v>
      </c>
      <c r="D42" s="7">
        <v>0.77</v>
      </c>
      <c r="E42" s="7">
        <v>245</v>
      </c>
      <c r="F42" s="7">
        <v>104</v>
      </c>
      <c r="G42" s="141">
        <v>0</v>
      </c>
      <c r="H42" s="141">
        <v>0</v>
      </c>
      <c r="I42" s="141">
        <v>0</v>
      </c>
      <c r="J42" s="141">
        <v>0</v>
      </c>
      <c r="K42" s="7">
        <f t="shared" si="0"/>
        <v>0</v>
      </c>
      <c r="L42" s="7">
        <f t="shared" si="1"/>
        <v>0</v>
      </c>
      <c r="M42" s="7">
        <f t="shared" si="2"/>
        <v>0</v>
      </c>
      <c r="N42" s="7">
        <f t="shared" si="3"/>
        <v>0</v>
      </c>
    </row>
    <row r="43" spans="1:14" s="6" customFormat="1" ht="12.75">
      <c r="A43" s="12" t="s">
        <v>181</v>
      </c>
      <c r="B43" s="229"/>
      <c r="C43" s="7">
        <v>41.747</v>
      </c>
      <c r="D43" s="7">
        <v>7.459</v>
      </c>
      <c r="E43" s="7">
        <v>41.581</v>
      </c>
      <c r="F43" s="7">
        <v>7.459</v>
      </c>
      <c r="G43" s="141">
        <v>0</v>
      </c>
      <c r="H43" s="141">
        <v>0</v>
      </c>
      <c r="I43" s="141">
        <v>0</v>
      </c>
      <c r="J43" s="141">
        <v>0</v>
      </c>
      <c r="K43" s="7">
        <f>(G43/C43)*1.2</f>
        <v>0</v>
      </c>
      <c r="L43" s="7">
        <f>(I43/E43)*1.2</f>
        <v>0</v>
      </c>
      <c r="M43" s="7">
        <f>(H43/D43)*1.2</f>
        <v>0</v>
      </c>
      <c r="N43" s="7">
        <f>(J43/F43)*1.2</f>
        <v>0</v>
      </c>
    </row>
    <row r="44" spans="1:14" s="160" customFormat="1" ht="12.75">
      <c r="A44" s="176" t="s">
        <v>111</v>
      </c>
      <c r="B44" s="227" t="s">
        <v>117</v>
      </c>
      <c r="C44" s="174">
        <v>17.441</v>
      </c>
      <c r="D44" s="174">
        <v>5.123</v>
      </c>
      <c r="E44" s="174">
        <v>4.621</v>
      </c>
      <c r="F44" s="174">
        <v>8.619</v>
      </c>
      <c r="G44" s="177">
        <v>17.402</v>
      </c>
      <c r="H44" s="177">
        <v>0.868</v>
      </c>
      <c r="I44" s="177">
        <v>0.881</v>
      </c>
      <c r="J44" s="177">
        <v>0.14</v>
      </c>
      <c r="K44" s="174">
        <f>(G44/C44)*1.2</f>
        <v>1.1973166676222695</v>
      </c>
      <c r="L44" s="174">
        <f>(I44/E44)*1.2</f>
        <v>0.22878164899372427</v>
      </c>
      <c r="M44" s="174">
        <f>(H44/D44)*1.2</f>
        <v>0.2033183681436658</v>
      </c>
      <c r="N44" s="174">
        <f>(J44/F44)*1.2</f>
        <v>0.019491820396797775</v>
      </c>
    </row>
    <row r="45" spans="1:14" s="163" customFormat="1" ht="12.75">
      <c r="A45" s="219" t="s">
        <v>157</v>
      </c>
      <c r="B45" s="219" t="s">
        <v>116</v>
      </c>
      <c r="C45" s="220" t="s">
        <v>171</v>
      </c>
      <c r="D45" s="220">
        <v>129.449</v>
      </c>
      <c r="E45" s="220">
        <v>431.258</v>
      </c>
      <c r="F45" s="220">
        <v>631.555</v>
      </c>
      <c r="G45" s="221">
        <v>0</v>
      </c>
      <c r="H45" s="221">
        <v>0</v>
      </c>
      <c r="I45" s="221">
        <v>0</v>
      </c>
      <c r="J45" s="221">
        <v>0</v>
      </c>
      <c r="K45" s="220">
        <v>0</v>
      </c>
      <c r="L45" s="220">
        <f t="shared" si="1"/>
        <v>0</v>
      </c>
      <c r="M45" s="220">
        <f t="shared" si="2"/>
        <v>0</v>
      </c>
      <c r="N45" s="220">
        <f t="shared" si="3"/>
        <v>0</v>
      </c>
    </row>
    <row r="46" spans="1:14" s="6" customFormat="1" ht="12.75">
      <c r="A46" s="12" t="s">
        <v>66</v>
      </c>
      <c r="B46" s="21" t="s">
        <v>67</v>
      </c>
      <c r="C46" s="7">
        <v>500.224</v>
      </c>
      <c r="D46" s="7">
        <v>182.985</v>
      </c>
      <c r="E46" s="7">
        <v>506.228</v>
      </c>
      <c r="F46" s="7">
        <v>339.438</v>
      </c>
      <c r="G46" s="141">
        <v>0</v>
      </c>
      <c r="H46" s="141">
        <v>0</v>
      </c>
      <c r="I46" s="141">
        <v>0</v>
      </c>
      <c r="J46" s="141">
        <v>0</v>
      </c>
      <c r="K46" s="7">
        <f t="shared" si="0"/>
        <v>0</v>
      </c>
      <c r="L46" s="7">
        <f t="shared" si="1"/>
        <v>0</v>
      </c>
      <c r="M46" s="7">
        <f t="shared" si="2"/>
        <v>0</v>
      </c>
      <c r="N46" s="7">
        <f t="shared" si="3"/>
        <v>0</v>
      </c>
    </row>
    <row r="48" spans="1:14" s="212" customFormat="1" ht="12.75">
      <c r="A48" s="214" t="s">
        <v>188</v>
      </c>
      <c r="B48" s="214"/>
      <c r="C48" s="214"/>
      <c r="D48" s="214"/>
      <c r="E48" s="206"/>
      <c r="F48" s="206"/>
      <c r="G48" s="206"/>
      <c r="H48" s="206"/>
      <c r="I48" s="206"/>
      <c r="J48" s="206"/>
      <c r="K48" s="206"/>
      <c r="L48" s="206"/>
      <c r="M48" s="206"/>
      <c r="N48" s="206"/>
    </row>
    <row r="49" spans="1:14" s="212" customFormat="1" ht="12.75">
      <c r="A49" s="216" t="s">
        <v>189</v>
      </c>
      <c r="B49" s="213"/>
      <c r="C49" s="214"/>
      <c r="D49" s="214"/>
      <c r="E49" s="206"/>
      <c r="F49" s="206"/>
      <c r="G49" s="206"/>
      <c r="H49" s="206"/>
      <c r="I49" s="206"/>
      <c r="J49" s="206"/>
      <c r="K49" s="206"/>
      <c r="L49" s="206"/>
      <c r="M49" s="206"/>
      <c r="N49" s="206"/>
    </row>
    <row r="50" spans="1:14" s="212" customFormat="1" ht="12.75">
      <c r="A50" s="216" t="s">
        <v>190</v>
      </c>
      <c r="B50" s="213"/>
      <c r="C50" s="215"/>
      <c r="D50" s="214"/>
      <c r="E50" s="206"/>
      <c r="F50" s="206"/>
      <c r="G50" s="206"/>
      <c r="H50" s="206"/>
      <c r="I50" s="206"/>
      <c r="J50" s="206"/>
      <c r="K50" s="206"/>
      <c r="L50" s="206"/>
      <c r="M50" s="206"/>
      <c r="N50" s="206"/>
    </row>
    <row r="51" spans="1:14" s="212" customFormat="1" ht="12.75">
      <c r="A51" s="216" t="s">
        <v>191</v>
      </c>
      <c r="B51" s="213"/>
      <c r="C51" s="215"/>
      <c r="D51" s="214"/>
      <c r="E51" s="206"/>
      <c r="F51" s="206"/>
      <c r="G51" s="206"/>
      <c r="H51" s="206"/>
      <c r="I51" s="206"/>
      <c r="J51" s="206"/>
      <c r="K51" s="206"/>
      <c r="L51" s="206"/>
      <c r="M51" s="206"/>
      <c r="N51" s="206"/>
    </row>
    <row r="52" spans="1:4" ht="12.75">
      <c r="A52" s="216" t="s">
        <v>194</v>
      </c>
      <c r="B52" s="213"/>
      <c r="C52" s="215"/>
      <c r="D52" s="214"/>
    </row>
    <row r="53" spans="1:2" ht="12.75">
      <c r="A53" s="43"/>
      <c r="B53" s="37"/>
    </row>
  </sheetData>
  <sheetProtection selectLockedCells="1" selectUnlockedCells="1"/>
  <printOptions/>
  <pageMargins left="0.03958333333333333" right="0.03958333333333333" top="0.07847222222222222" bottom="0.39375" header="0.5118055555555555" footer="0.5118055555555555"/>
  <pageSetup horizontalDpi="600" verticalDpi="600" orientation="landscape" scale="8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51"/>
  <sheetViews>
    <sheetView zoomScale="130" zoomScaleNormal="130" zoomScalePageLayoutView="0" workbookViewId="0" topLeftCell="A1">
      <pane ySplit="7" topLeftCell="A17" activePane="bottomLeft" state="frozen"/>
      <selection pane="topLeft" activeCell="A1" sqref="A1"/>
      <selection pane="bottomLeft" activeCell="O24" sqref="O24"/>
    </sheetView>
  </sheetViews>
  <sheetFormatPr defaultColWidth="9.140625" defaultRowHeight="12.75"/>
  <cols>
    <col min="1" max="1" width="1.421875" style="10" customWidth="1"/>
    <col min="2" max="2" width="21.8515625" style="10" customWidth="1"/>
    <col min="3" max="3" width="19.140625" style="10" customWidth="1"/>
    <col min="4" max="4" width="6.57421875" style="10" customWidth="1"/>
    <col min="5" max="5" width="7.7109375" style="10" customWidth="1"/>
    <col min="6" max="6" width="8.28125" style="10" customWidth="1"/>
    <col min="7" max="9" width="9.140625" style="10" customWidth="1"/>
    <col min="10" max="12" width="0" style="10" hidden="1" customWidth="1"/>
    <col min="13" max="16384" width="9.140625" style="10" customWidth="1"/>
  </cols>
  <sheetData>
    <row r="1" ht="12.75"/>
    <row r="2" spans="2:12" ht="12.75">
      <c r="B2" s="231" t="s">
        <v>92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2:12" ht="12.75">
      <c r="B3" s="232" t="s">
        <v>175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2:12" ht="12.75">
      <c r="B4" s="44"/>
      <c r="C4" s="44"/>
      <c r="D4" s="45"/>
      <c r="E4" s="46"/>
      <c r="F4" s="46"/>
      <c r="G4" s="44"/>
      <c r="H4" s="44"/>
      <c r="I4" s="44"/>
      <c r="J4" s="44"/>
      <c r="K4" s="44"/>
      <c r="L4" s="44"/>
    </row>
    <row r="5" spans="2:12" ht="12.75">
      <c r="B5" s="87"/>
      <c r="C5" s="88"/>
      <c r="D5" s="233" t="s">
        <v>71</v>
      </c>
      <c r="E5" s="233"/>
      <c r="F5" s="233"/>
      <c r="G5" s="89" t="s">
        <v>72</v>
      </c>
      <c r="H5" s="90" t="s">
        <v>93</v>
      </c>
      <c r="I5" s="91" t="s">
        <v>74</v>
      </c>
      <c r="J5" s="47" t="s">
        <v>75</v>
      </c>
      <c r="K5" s="48" t="s">
        <v>76</v>
      </c>
      <c r="L5" s="49" t="s">
        <v>77</v>
      </c>
    </row>
    <row r="6" spans="2:12" ht="12.75">
      <c r="B6" s="92"/>
      <c r="C6" s="93" t="s">
        <v>78</v>
      </c>
      <c r="D6" s="94"/>
      <c r="E6" s="95"/>
      <c r="F6" s="96"/>
      <c r="G6" s="97" t="s">
        <v>79</v>
      </c>
      <c r="H6" s="98" t="s">
        <v>79</v>
      </c>
      <c r="I6" s="99" t="s">
        <v>13</v>
      </c>
      <c r="J6" s="50"/>
      <c r="K6" s="51"/>
      <c r="L6" s="52" t="s">
        <v>80</v>
      </c>
    </row>
    <row r="7" spans="2:12" ht="12.75">
      <c r="B7" s="100" t="s">
        <v>11</v>
      </c>
      <c r="C7" s="93" t="s">
        <v>12</v>
      </c>
      <c r="D7" s="101" t="s">
        <v>75</v>
      </c>
      <c r="E7" s="102" t="s">
        <v>81</v>
      </c>
      <c r="F7" s="103" t="s">
        <v>82</v>
      </c>
      <c r="G7" s="104" t="s">
        <v>83</v>
      </c>
      <c r="H7" s="105" t="s">
        <v>83</v>
      </c>
      <c r="I7" s="99" t="s">
        <v>84</v>
      </c>
      <c r="J7" s="50"/>
      <c r="K7" s="51"/>
      <c r="L7" s="52" t="s">
        <v>85</v>
      </c>
    </row>
    <row r="8" spans="2:12" ht="13.5" thickBot="1">
      <c r="B8" s="92"/>
      <c r="C8" s="106"/>
      <c r="D8" s="101" t="s">
        <v>118</v>
      </c>
      <c r="E8" s="93" t="s">
        <v>118</v>
      </c>
      <c r="F8" s="107" t="s">
        <v>118</v>
      </c>
      <c r="G8" s="98" t="s">
        <v>118</v>
      </c>
      <c r="H8" s="93" t="s">
        <v>119</v>
      </c>
      <c r="I8" s="107" t="s">
        <v>118</v>
      </c>
      <c r="J8" s="53" t="s">
        <v>120</v>
      </c>
      <c r="K8" s="54" t="s">
        <v>120</v>
      </c>
      <c r="L8" s="54" t="s">
        <v>120</v>
      </c>
    </row>
    <row r="9" spans="2:12" s="185" customFormat="1" ht="12.75">
      <c r="B9" s="179" t="s">
        <v>152</v>
      </c>
      <c r="C9" s="180" t="s">
        <v>115</v>
      </c>
      <c r="D9" s="181">
        <v>1.6</v>
      </c>
      <c r="E9" s="181">
        <v>2.62</v>
      </c>
      <c r="F9" s="182">
        <f>SUM(D9:E9)</f>
        <v>4.220000000000001</v>
      </c>
      <c r="G9" s="181">
        <f>SUM(1.6+0.15)</f>
        <v>1.75</v>
      </c>
      <c r="H9" s="181">
        <f>SUM(2.62+0.16)</f>
        <v>2.7800000000000002</v>
      </c>
      <c r="I9" s="182">
        <f>SUM(G9:H9)</f>
        <v>4.53</v>
      </c>
      <c r="J9" s="183">
        <f>6.61*1.18</f>
        <v>7.7998</v>
      </c>
      <c r="K9" s="184">
        <f>14.11*1.18</f>
        <v>16.6498</v>
      </c>
      <c r="L9" s="184">
        <f>J9+K9</f>
        <v>24.4496</v>
      </c>
    </row>
    <row r="10" spans="2:12" s="131" customFormat="1" ht="12.75">
      <c r="B10" s="12" t="s">
        <v>25</v>
      </c>
      <c r="C10" s="134"/>
      <c r="D10" s="15">
        <v>1.08</v>
      </c>
      <c r="E10" s="15">
        <v>1.308</v>
      </c>
      <c r="F10" s="152">
        <f>SUM(D10:E10)</f>
        <v>2.388</v>
      </c>
      <c r="G10" s="15">
        <v>1.08</v>
      </c>
      <c r="H10" s="15">
        <v>1.308</v>
      </c>
      <c r="I10" s="152">
        <f aca="true" t="shared" si="0" ref="I10:I16">SUM(G10:H10)</f>
        <v>2.388</v>
      </c>
      <c r="J10" s="156"/>
      <c r="K10" s="130"/>
      <c r="L10" s="130"/>
    </row>
    <row r="11" spans="2:9" s="191" customFormat="1" ht="11.25">
      <c r="B11" s="186" t="s">
        <v>195</v>
      </c>
      <c r="C11" s="187" t="s">
        <v>158</v>
      </c>
      <c r="D11" s="188">
        <v>0.87</v>
      </c>
      <c r="E11" s="188">
        <v>0.71</v>
      </c>
      <c r="F11" s="189">
        <f>SUM(D11,E11)</f>
        <v>1.58</v>
      </c>
      <c r="G11" s="188">
        <f>SUM(0.87+0.15)</f>
        <v>1.02</v>
      </c>
      <c r="H11" s="188">
        <f>SUM(0.71+0.12)</f>
        <v>0.83</v>
      </c>
      <c r="I11" s="190">
        <f>SUM(G11:H11)</f>
        <v>1.85</v>
      </c>
    </row>
    <row r="12" spans="2:12" s="6" customFormat="1" ht="12.75">
      <c r="B12" s="12" t="s">
        <v>153</v>
      </c>
      <c r="C12" s="134" t="s">
        <v>184</v>
      </c>
      <c r="D12" s="15">
        <v>0.94</v>
      </c>
      <c r="E12" s="15">
        <v>1.3</v>
      </c>
      <c r="F12" s="152">
        <f>SUM(D12:E12)</f>
        <v>2.24</v>
      </c>
      <c r="G12" s="15">
        <v>0.94</v>
      </c>
      <c r="H12" s="15">
        <v>1.3</v>
      </c>
      <c r="I12" s="152">
        <f t="shared" si="0"/>
        <v>2.24</v>
      </c>
      <c r="J12" s="36"/>
      <c r="K12" s="35"/>
      <c r="L12" s="35"/>
    </row>
    <row r="13" spans="2:12" ht="12.75">
      <c r="B13" s="12" t="s">
        <v>95</v>
      </c>
      <c r="C13" s="149" t="s">
        <v>24</v>
      </c>
      <c r="D13" s="22">
        <v>1.056</v>
      </c>
      <c r="E13" s="22">
        <v>1.56</v>
      </c>
      <c r="F13" s="155">
        <f>E13+D13</f>
        <v>2.616</v>
      </c>
      <c r="G13" s="22">
        <v>1.056</v>
      </c>
      <c r="H13" s="22">
        <v>1.56</v>
      </c>
      <c r="I13" s="155">
        <f t="shared" si="0"/>
        <v>2.616</v>
      </c>
      <c r="J13" s="8">
        <f>7.8*1.18</f>
        <v>9.203999999999999</v>
      </c>
      <c r="K13" s="9">
        <f>9.35*1.18</f>
        <v>11.033</v>
      </c>
      <c r="L13" s="9">
        <f>J13+K13</f>
        <v>20.237</v>
      </c>
    </row>
    <row r="14" spans="2:12" s="6" customFormat="1" ht="12.75">
      <c r="B14" s="12" t="s">
        <v>27</v>
      </c>
      <c r="C14" s="153" t="s">
        <v>28</v>
      </c>
      <c r="D14" s="15">
        <v>0.85</v>
      </c>
      <c r="E14" s="15">
        <v>1.176</v>
      </c>
      <c r="F14" s="152">
        <f>E14+D14</f>
        <v>2.026</v>
      </c>
      <c r="G14" s="15">
        <v>0.85</v>
      </c>
      <c r="H14" s="15">
        <v>1.176</v>
      </c>
      <c r="I14" s="152">
        <f>H14+G14</f>
        <v>2.026</v>
      </c>
      <c r="J14" s="11">
        <f>8.9*1.18</f>
        <v>10.502</v>
      </c>
      <c r="K14" s="5">
        <f>9.75*1.18</f>
        <v>11.504999999999999</v>
      </c>
      <c r="L14" s="5">
        <f>J14+K14</f>
        <v>22.006999999999998</v>
      </c>
    </row>
    <row r="15" spans="2:12" s="185" customFormat="1" ht="12.75">
      <c r="B15" s="186" t="s">
        <v>29</v>
      </c>
      <c r="C15" s="187" t="s">
        <v>30</v>
      </c>
      <c r="D15" s="192">
        <v>0.74</v>
      </c>
      <c r="E15" s="192">
        <v>0.96</v>
      </c>
      <c r="F15" s="193">
        <f>E15+D15</f>
        <v>1.7</v>
      </c>
      <c r="G15" s="192">
        <f>SUM(0.74+0.01)</f>
        <v>0.75</v>
      </c>
      <c r="H15" s="192">
        <v>0.96</v>
      </c>
      <c r="I15" s="193">
        <f t="shared" si="0"/>
        <v>1.71</v>
      </c>
      <c r="J15" s="194">
        <f>9.45*1.18</f>
        <v>11.150999999999998</v>
      </c>
      <c r="K15" s="195">
        <f>12.585*1.18</f>
        <v>14.8503</v>
      </c>
      <c r="L15" s="195">
        <f>J15+K15</f>
        <v>26.0013</v>
      </c>
    </row>
    <row r="16" spans="2:12" ht="12.75">
      <c r="B16" s="12" t="s">
        <v>26</v>
      </c>
      <c r="C16" s="149" t="s">
        <v>159</v>
      </c>
      <c r="D16" s="22">
        <v>1</v>
      </c>
      <c r="E16" s="22">
        <v>1.54</v>
      </c>
      <c r="F16" s="155">
        <f>E16+D16</f>
        <v>2.54</v>
      </c>
      <c r="G16" s="22">
        <v>1</v>
      </c>
      <c r="H16" s="22">
        <v>1.54</v>
      </c>
      <c r="I16" s="155">
        <f t="shared" si="0"/>
        <v>2.54</v>
      </c>
      <c r="J16" s="8"/>
      <c r="K16" s="9"/>
      <c r="L16" s="9"/>
    </row>
    <row r="17" spans="2:12" ht="12.75">
      <c r="B17" s="12" t="s">
        <v>31</v>
      </c>
      <c r="C17" s="149" t="s">
        <v>32</v>
      </c>
      <c r="D17" s="22">
        <v>0.84</v>
      </c>
      <c r="E17" s="22">
        <v>1.764</v>
      </c>
      <c r="F17" s="155">
        <f>D17+E17</f>
        <v>2.604</v>
      </c>
      <c r="G17" s="22">
        <v>0.84</v>
      </c>
      <c r="H17" s="22">
        <v>1.764</v>
      </c>
      <c r="I17" s="155">
        <f aca="true" t="shared" si="1" ref="I17:I25">SUM(G17:H17)</f>
        <v>2.604</v>
      </c>
      <c r="J17" s="8">
        <v>9.44</v>
      </c>
      <c r="K17" s="55">
        <v>13.57</v>
      </c>
      <c r="L17" s="9">
        <f>J17+K17</f>
        <v>23.009999999999998</v>
      </c>
    </row>
    <row r="18" spans="2:12" ht="12.75">
      <c r="B18" s="12" t="s">
        <v>41</v>
      </c>
      <c r="C18" s="149" t="s">
        <v>187</v>
      </c>
      <c r="D18" s="22">
        <v>1.38</v>
      </c>
      <c r="E18" s="22">
        <v>1.553</v>
      </c>
      <c r="F18" s="155">
        <f>D18+E18</f>
        <v>2.933</v>
      </c>
      <c r="G18" s="14">
        <v>1.38</v>
      </c>
      <c r="H18" s="14">
        <v>1.553</v>
      </c>
      <c r="I18" s="155">
        <f t="shared" si="1"/>
        <v>2.933</v>
      </c>
      <c r="J18" s="8">
        <f>7.203*1.18</f>
        <v>8.49954</v>
      </c>
      <c r="K18" s="9">
        <f>10.17*1.18</f>
        <v>12.000599999999999</v>
      </c>
      <c r="L18" s="9">
        <f>J18+K18</f>
        <v>20.50014</v>
      </c>
    </row>
    <row r="19" spans="2:9" s="191" customFormat="1" ht="11.25">
      <c r="B19" s="186" t="s">
        <v>33</v>
      </c>
      <c r="C19" s="180" t="s">
        <v>161</v>
      </c>
      <c r="D19" s="192">
        <v>1.056</v>
      </c>
      <c r="E19" s="188">
        <v>1.09</v>
      </c>
      <c r="F19" s="182">
        <f>SUM(D19,E19)</f>
        <v>2.146</v>
      </c>
      <c r="G19" s="196">
        <f>SUM(1.06+0.14)</f>
        <v>1.2000000000000002</v>
      </c>
      <c r="H19" s="196">
        <f>SUM(1.09+0.14)</f>
        <v>1.23</v>
      </c>
      <c r="I19" s="190">
        <f t="shared" si="1"/>
        <v>2.43</v>
      </c>
    </row>
    <row r="20" spans="2:9" s="191" customFormat="1" ht="11.25">
      <c r="B20" s="186" t="s">
        <v>112</v>
      </c>
      <c r="C20" s="180" t="s">
        <v>113</v>
      </c>
      <c r="D20" s="192">
        <v>1.368</v>
      </c>
      <c r="E20" s="192">
        <v>2.016</v>
      </c>
      <c r="F20" s="182">
        <f>SUM(D20,E20)</f>
        <v>3.3840000000000003</v>
      </c>
      <c r="G20" s="196">
        <f>SUM(1.37+0.18)</f>
        <v>1.55</v>
      </c>
      <c r="H20" s="196">
        <v>2.02</v>
      </c>
      <c r="I20" s="190">
        <f t="shared" si="1"/>
        <v>3.5700000000000003</v>
      </c>
    </row>
    <row r="21" spans="2:12" s="185" customFormat="1" ht="12.75">
      <c r="B21" s="186" t="s">
        <v>34</v>
      </c>
      <c r="C21" s="187" t="s">
        <v>185</v>
      </c>
      <c r="D21" s="192">
        <v>0.828</v>
      </c>
      <c r="E21" s="192">
        <v>0.828</v>
      </c>
      <c r="F21" s="193">
        <f>D21+E21</f>
        <v>1.656</v>
      </c>
      <c r="G21" s="196">
        <f>SUM(0.83+0.08)</f>
        <v>0.9099999999999999</v>
      </c>
      <c r="H21" s="196">
        <f>SUM(0.83+0.04)</f>
        <v>0.87</v>
      </c>
      <c r="I21" s="193">
        <f t="shared" si="1"/>
        <v>1.7799999999999998</v>
      </c>
      <c r="J21" s="194">
        <v>6.5</v>
      </c>
      <c r="K21" s="195">
        <v>13</v>
      </c>
      <c r="L21" s="195">
        <f>J21+K21</f>
        <v>19.5</v>
      </c>
    </row>
    <row r="22" spans="2:12" ht="12.75">
      <c r="B22" s="12" t="s">
        <v>35</v>
      </c>
      <c r="C22" s="149" t="s">
        <v>36</v>
      </c>
      <c r="D22" s="22">
        <v>1.056</v>
      </c>
      <c r="E22" s="22">
        <v>1.968</v>
      </c>
      <c r="F22" s="155">
        <f>SUM(D22:E22)</f>
        <v>3.024</v>
      </c>
      <c r="G22" s="22">
        <v>1.056</v>
      </c>
      <c r="H22" s="22">
        <v>1.968</v>
      </c>
      <c r="I22" s="155">
        <f>SUM(G22:H22)</f>
        <v>3.024</v>
      </c>
      <c r="J22" s="8">
        <f>9.32*1.18</f>
        <v>10.9976</v>
      </c>
      <c r="K22" s="9">
        <f>12.71*1.18</f>
        <v>14.9978</v>
      </c>
      <c r="L22" s="9">
        <f>J22+K22</f>
        <v>25.9954</v>
      </c>
    </row>
    <row r="23" spans="2:12" s="200" customFormat="1" ht="12.75">
      <c r="B23" s="186" t="s">
        <v>37</v>
      </c>
      <c r="C23" s="197" t="s">
        <v>38</v>
      </c>
      <c r="D23" s="181">
        <v>1.2</v>
      </c>
      <c r="E23" s="181">
        <v>2.496</v>
      </c>
      <c r="F23" s="182">
        <f>D23+E23</f>
        <v>3.6959999999999997</v>
      </c>
      <c r="G23" s="181">
        <f>SUM(1.2+0.11)</f>
        <v>1.31</v>
      </c>
      <c r="H23" s="181">
        <f>SUM(2.5+0.18)</f>
        <v>2.68</v>
      </c>
      <c r="I23" s="182">
        <f t="shared" si="1"/>
        <v>3.99</v>
      </c>
      <c r="J23" s="198"/>
      <c r="K23" s="199"/>
      <c r="L23" s="199"/>
    </row>
    <row r="24" spans="2:9" s="133" customFormat="1" ht="11.25">
      <c r="B24" s="12" t="s">
        <v>154</v>
      </c>
      <c r="C24" s="148" t="s">
        <v>114</v>
      </c>
      <c r="D24" s="13">
        <v>1.38</v>
      </c>
      <c r="E24" s="22">
        <v>1.44</v>
      </c>
      <c r="F24" s="152">
        <f>SUM(D24,E24)</f>
        <v>2.82</v>
      </c>
      <c r="G24" s="13">
        <v>1.38</v>
      </c>
      <c r="H24" s="22">
        <v>1.44</v>
      </c>
      <c r="I24" s="155">
        <f t="shared" si="1"/>
        <v>2.82</v>
      </c>
    </row>
    <row r="25" spans="2:12" s="185" customFormat="1" ht="12.75">
      <c r="B25" s="179" t="s">
        <v>39</v>
      </c>
      <c r="C25" s="187" t="s">
        <v>165</v>
      </c>
      <c r="D25" s="192">
        <v>1.02</v>
      </c>
      <c r="E25" s="188">
        <v>1.56</v>
      </c>
      <c r="F25" s="182">
        <f>SUM(D25,E25)</f>
        <v>2.58</v>
      </c>
      <c r="G25" s="181">
        <f>SUM(1.02+0.04)</f>
        <v>1.06</v>
      </c>
      <c r="H25" s="181">
        <f>SUM(1.56+0.04)</f>
        <v>1.6</v>
      </c>
      <c r="I25" s="190">
        <f t="shared" si="1"/>
        <v>2.66</v>
      </c>
      <c r="J25" s="194"/>
      <c r="K25" s="195"/>
      <c r="L25" s="195"/>
    </row>
    <row r="26" spans="2:12" ht="12.75">
      <c r="B26" s="12" t="s">
        <v>42</v>
      </c>
      <c r="C26" s="149" t="s">
        <v>94</v>
      </c>
      <c r="D26" s="22">
        <v>0.96</v>
      </c>
      <c r="E26" s="22">
        <v>1.368</v>
      </c>
      <c r="F26" s="155">
        <f>D26+E26</f>
        <v>2.3280000000000003</v>
      </c>
      <c r="G26" s="22">
        <v>0.96</v>
      </c>
      <c r="H26" s="22">
        <v>1.368</v>
      </c>
      <c r="I26" s="155">
        <f>G26+H26</f>
        <v>2.3280000000000003</v>
      </c>
      <c r="J26" s="8"/>
      <c r="K26" s="9"/>
      <c r="L26" s="9"/>
    </row>
    <row r="27" spans="2:12" ht="12.75">
      <c r="B27" s="12" t="s">
        <v>43</v>
      </c>
      <c r="C27" s="149"/>
      <c r="D27" s="222">
        <v>1.128</v>
      </c>
      <c r="E27" s="222">
        <v>1.356</v>
      </c>
      <c r="F27" s="223">
        <f>SUM(D27:E27)</f>
        <v>2.484</v>
      </c>
      <c r="G27" s="222">
        <v>1.128</v>
      </c>
      <c r="H27" s="222">
        <v>1.356</v>
      </c>
      <c r="I27" s="223">
        <f>SUM(G27:H27)</f>
        <v>2.484</v>
      </c>
      <c r="J27" s="8"/>
      <c r="K27" s="9"/>
      <c r="L27" s="9"/>
    </row>
    <row r="28" spans="2:12" s="185" customFormat="1" ht="12.75">
      <c r="B28" s="186" t="s">
        <v>45</v>
      </c>
      <c r="C28" s="187" t="s">
        <v>186</v>
      </c>
      <c r="D28" s="192">
        <v>0.92</v>
      </c>
      <c r="E28" s="192">
        <v>1.47</v>
      </c>
      <c r="F28" s="193">
        <f>E28+D28</f>
        <v>2.39</v>
      </c>
      <c r="G28" s="196">
        <f>SUM(0.92+0.13)</f>
        <v>1.05</v>
      </c>
      <c r="H28" s="196">
        <f>SUM(1.47+0.12)</f>
        <v>1.5899999999999999</v>
      </c>
      <c r="I28" s="193">
        <f>H28+G28</f>
        <v>2.6399999999999997</v>
      </c>
      <c r="J28" s="194">
        <v>9.4</v>
      </c>
      <c r="K28" s="195">
        <v>12.7</v>
      </c>
      <c r="L28" s="195">
        <f>J28+K28</f>
        <v>22.1</v>
      </c>
    </row>
    <row r="29" spans="2:12" ht="12.75">
      <c r="B29" s="12" t="s">
        <v>89</v>
      </c>
      <c r="C29" s="149" t="s">
        <v>47</v>
      </c>
      <c r="D29" s="22">
        <v>1.068</v>
      </c>
      <c r="E29" s="22">
        <v>1.07</v>
      </c>
      <c r="F29" s="155">
        <f>SUM(D29:E29)</f>
        <v>2.138</v>
      </c>
      <c r="G29" s="22">
        <v>1.07</v>
      </c>
      <c r="H29" s="22">
        <v>1.07</v>
      </c>
      <c r="I29" s="155">
        <f>SUM(G29:H29)</f>
        <v>2.14</v>
      </c>
      <c r="J29" s="8">
        <f>7.2*1.18</f>
        <v>8.496</v>
      </c>
      <c r="K29" s="55">
        <v>13.22</v>
      </c>
      <c r="L29" s="9">
        <f>J29+K29</f>
        <v>21.716</v>
      </c>
    </row>
    <row r="30" spans="2:13" ht="12.75">
      <c r="B30" s="12" t="s">
        <v>49</v>
      </c>
      <c r="C30" s="149" t="s">
        <v>170</v>
      </c>
      <c r="D30" s="22">
        <v>0.9</v>
      </c>
      <c r="E30" s="22">
        <v>1.49</v>
      </c>
      <c r="F30" s="155">
        <f>SUM(D30,E30)</f>
        <v>2.39</v>
      </c>
      <c r="G30" s="22">
        <v>0.9</v>
      </c>
      <c r="H30" s="22">
        <v>1.49</v>
      </c>
      <c r="I30" s="155">
        <f>SUM(G30,H30)</f>
        <v>2.39</v>
      </c>
      <c r="J30" s="8">
        <v>12.5</v>
      </c>
      <c r="K30" s="9">
        <v>13.33</v>
      </c>
      <c r="L30" s="9">
        <f>J30+K30</f>
        <v>25.83</v>
      </c>
      <c r="M30" s="10" t="s">
        <v>90</v>
      </c>
    </row>
    <row r="31" spans="2:12" ht="12.75">
      <c r="B31" s="12" t="s">
        <v>44</v>
      </c>
      <c r="C31" s="149" t="s">
        <v>162</v>
      </c>
      <c r="D31" s="22">
        <v>1.14</v>
      </c>
      <c r="E31" s="22">
        <v>1.44</v>
      </c>
      <c r="F31" s="155">
        <f>E31+D31</f>
        <v>2.58</v>
      </c>
      <c r="G31" s="22">
        <v>1.14</v>
      </c>
      <c r="H31" s="22">
        <v>1.44</v>
      </c>
      <c r="I31" s="155">
        <f>H31+G31</f>
        <v>2.58</v>
      </c>
      <c r="J31" s="8">
        <v>7</v>
      </c>
      <c r="K31" s="9">
        <v>13</v>
      </c>
      <c r="L31" s="9">
        <f>J31+K31</f>
        <v>20</v>
      </c>
    </row>
    <row r="32" spans="2:12" ht="12.75">
      <c r="B32" s="12" t="s">
        <v>48</v>
      </c>
      <c r="C32" s="149" t="s">
        <v>163</v>
      </c>
      <c r="D32" s="22">
        <v>0.74</v>
      </c>
      <c r="E32" s="22">
        <v>1.46</v>
      </c>
      <c r="F32" s="155">
        <f>D32+E32</f>
        <v>2.2</v>
      </c>
      <c r="G32" s="22">
        <v>0.74</v>
      </c>
      <c r="H32" s="22">
        <v>1.46</v>
      </c>
      <c r="I32" s="155">
        <f>SUM(G32:H32)</f>
        <v>2.2</v>
      </c>
      <c r="J32" s="8"/>
      <c r="K32" s="9"/>
      <c r="L32" s="9"/>
    </row>
    <row r="33" spans="2:12" ht="12.75">
      <c r="B33" s="21" t="s">
        <v>50</v>
      </c>
      <c r="C33" s="154" t="s">
        <v>51</v>
      </c>
      <c r="D33" s="22">
        <v>0.89</v>
      </c>
      <c r="E33" s="22">
        <v>0.73</v>
      </c>
      <c r="F33" s="155">
        <f>E33+D33</f>
        <v>1.62</v>
      </c>
      <c r="G33" s="22">
        <v>0.89</v>
      </c>
      <c r="H33" s="22">
        <v>0.73</v>
      </c>
      <c r="I33" s="155">
        <f>H33+G33</f>
        <v>1.62</v>
      </c>
      <c r="J33" s="8">
        <v>13</v>
      </c>
      <c r="K33" s="9">
        <v>9</v>
      </c>
      <c r="L33" s="9">
        <f>J33+K33</f>
        <v>22</v>
      </c>
    </row>
    <row r="34" spans="2:12" ht="12.75">
      <c r="B34" s="12" t="s">
        <v>52</v>
      </c>
      <c r="C34" s="149" t="s">
        <v>131</v>
      </c>
      <c r="D34" s="22">
        <v>0.85</v>
      </c>
      <c r="E34" s="22">
        <v>1.13</v>
      </c>
      <c r="F34" s="155">
        <f>E34+D34</f>
        <v>1.98</v>
      </c>
      <c r="G34" s="22">
        <v>0.85</v>
      </c>
      <c r="H34" s="22">
        <v>1.13</v>
      </c>
      <c r="I34" s="155">
        <f>H34+G34</f>
        <v>1.98</v>
      </c>
      <c r="J34" s="8">
        <f>10.68*1.18</f>
        <v>12.6024</v>
      </c>
      <c r="K34" s="9">
        <f>12.2*1.18</f>
        <v>14.395999999999999</v>
      </c>
      <c r="L34" s="9">
        <f>J34+K34</f>
        <v>26.998399999999997</v>
      </c>
    </row>
    <row r="35" spans="2:12" s="6" customFormat="1" ht="12.75">
      <c r="B35" s="12" t="s">
        <v>56</v>
      </c>
      <c r="C35" s="134" t="s">
        <v>110</v>
      </c>
      <c r="D35" s="15">
        <v>0.828</v>
      </c>
      <c r="E35" s="15">
        <v>0.97</v>
      </c>
      <c r="F35" s="152">
        <f>SUM(D35,E35)</f>
        <v>1.798</v>
      </c>
      <c r="G35" s="15">
        <v>0.83</v>
      </c>
      <c r="H35" s="15">
        <v>0.97</v>
      </c>
      <c r="I35" s="152">
        <f>SUM(G35,H35)</f>
        <v>1.7999999999999998</v>
      </c>
      <c r="J35" s="11">
        <v>5.18</v>
      </c>
      <c r="K35" s="5">
        <v>4.9</v>
      </c>
      <c r="L35" s="5">
        <f>J35+K35</f>
        <v>10.08</v>
      </c>
    </row>
    <row r="36" spans="2:12" s="6" customFormat="1" ht="12.75">
      <c r="B36" s="12" t="s">
        <v>53</v>
      </c>
      <c r="C36" s="134" t="s">
        <v>54</v>
      </c>
      <c r="D36" s="15">
        <v>0.92</v>
      </c>
      <c r="E36" s="15">
        <v>0.708</v>
      </c>
      <c r="F36" s="152">
        <f>SUM(D36,E36)</f>
        <v>1.6280000000000001</v>
      </c>
      <c r="G36" s="15">
        <v>0.92</v>
      </c>
      <c r="H36" s="15">
        <v>0.71</v>
      </c>
      <c r="I36" s="152">
        <f>SUM(G36,H36)</f>
        <v>1.63</v>
      </c>
      <c r="J36" s="11">
        <v>10.7</v>
      </c>
      <c r="K36" s="211">
        <v>14.75</v>
      </c>
      <c r="L36" s="5">
        <f>J36+K36</f>
        <v>25.45</v>
      </c>
    </row>
    <row r="37" spans="2:12" ht="12.75">
      <c r="B37" s="12" t="s">
        <v>91</v>
      </c>
      <c r="C37" s="149" t="s">
        <v>55</v>
      </c>
      <c r="D37" s="22">
        <v>1.06</v>
      </c>
      <c r="E37" s="22">
        <v>1.58</v>
      </c>
      <c r="F37" s="155">
        <f>SUM(D37:E37)</f>
        <v>2.64</v>
      </c>
      <c r="G37" s="22">
        <v>1.06</v>
      </c>
      <c r="H37" s="22">
        <v>1.58</v>
      </c>
      <c r="I37" s="155">
        <f>SUM(G37:H37)</f>
        <v>2.64</v>
      </c>
      <c r="J37" s="8"/>
      <c r="K37" s="55"/>
      <c r="L37" s="9"/>
    </row>
    <row r="38" spans="2:12" ht="12.75">
      <c r="B38" s="12" t="s">
        <v>57</v>
      </c>
      <c r="C38" s="149" t="s">
        <v>58</v>
      </c>
      <c r="D38" s="22">
        <v>1.14</v>
      </c>
      <c r="E38" s="22">
        <v>0.93</v>
      </c>
      <c r="F38" s="155">
        <f>SUM(D38:E38)</f>
        <v>2.07</v>
      </c>
      <c r="G38" s="22">
        <v>1.14</v>
      </c>
      <c r="H38" s="22">
        <v>0.93</v>
      </c>
      <c r="I38" s="155">
        <f>SUM(G38:H38)</f>
        <v>2.07</v>
      </c>
      <c r="J38" s="8">
        <v>12.79</v>
      </c>
      <c r="K38" s="9">
        <v>10.35</v>
      </c>
      <c r="L38" s="9">
        <f>J38+K38</f>
        <v>23.14</v>
      </c>
    </row>
    <row r="39" spans="2:12" ht="12.75">
      <c r="B39" s="12" t="s">
        <v>155</v>
      </c>
      <c r="C39" s="149" t="s">
        <v>59</v>
      </c>
      <c r="D39" s="22">
        <v>1.07</v>
      </c>
      <c r="E39" s="22">
        <v>1.36</v>
      </c>
      <c r="F39" s="155">
        <f>E39+D39</f>
        <v>2.43</v>
      </c>
      <c r="G39" s="22">
        <v>1.07</v>
      </c>
      <c r="H39" s="22">
        <v>1.36</v>
      </c>
      <c r="I39" s="155">
        <f>H39+G39</f>
        <v>2.43</v>
      </c>
      <c r="J39" s="8">
        <v>11</v>
      </c>
      <c r="K39" s="9">
        <v>12.6</v>
      </c>
      <c r="L39" s="9">
        <f>J39+K39</f>
        <v>23.6</v>
      </c>
    </row>
    <row r="40" spans="2:12" ht="12.75">
      <c r="B40" s="12" t="s">
        <v>60</v>
      </c>
      <c r="C40" s="149" t="s">
        <v>61</v>
      </c>
      <c r="D40" s="22">
        <v>0.7</v>
      </c>
      <c r="E40" s="13">
        <v>1.2</v>
      </c>
      <c r="F40" s="132">
        <f>D40+E40</f>
        <v>1.9</v>
      </c>
      <c r="G40" s="13">
        <v>0.7</v>
      </c>
      <c r="H40" s="13">
        <v>1.2</v>
      </c>
      <c r="I40" s="132">
        <f>G40+H40</f>
        <v>1.9</v>
      </c>
      <c r="J40" s="8">
        <f>9.15*1.18</f>
        <v>10.797</v>
      </c>
      <c r="K40" s="9">
        <f>11.19*1.18</f>
        <v>13.204199999999998</v>
      </c>
      <c r="L40" s="9">
        <f>J40+K40</f>
        <v>24.001199999999997</v>
      </c>
    </row>
    <row r="41" spans="2:12" ht="12.75">
      <c r="B41" s="12" t="s">
        <v>156</v>
      </c>
      <c r="C41" s="149" t="s">
        <v>62</v>
      </c>
      <c r="D41" s="13">
        <v>0.84</v>
      </c>
      <c r="E41" s="13">
        <v>1.62</v>
      </c>
      <c r="F41" s="132">
        <f>D41+E41</f>
        <v>2.46</v>
      </c>
      <c r="G41" s="13">
        <v>0.84</v>
      </c>
      <c r="H41" s="13">
        <v>1.62</v>
      </c>
      <c r="I41" s="132">
        <f>G41+H41</f>
        <v>2.46</v>
      </c>
      <c r="J41" s="8"/>
      <c r="K41" s="9"/>
      <c r="L41" s="9"/>
    </row>
    <row r="42" spans="2:12" ht="12.75">
      <c r="B42" s="12" t="s">
        <v>63</v>
      </c>
      <c r="C42" s="149" t="s">
        <v>132</v>
      </c>
      <c r="D42" s="13">
        <v>0.96</v>
      </c>
      <c r="E42" s="13">
        <v>1.08</v>
      </c>
      <c r="F42" s="132">
        <f>SUM(D42,E42)</f>
        <v>2.04</v>
      </c>
      <c r="G42" s="13">
        <v>0.96</v>
      </c>
      <c r="H42" s="13">
        <v>1.08</v>
      </c>
      <c r="I42" s="132">
        <f>SUM(G42,H42)</f>
        <v>2.04</v>
      </c>
      <c r="J42" s="8"/>
      <c r="K42" s="9"/>
      <c r="L42" s="9"/>
    </row>
    <row r="43" spans="2:12" ht="12.75">
      <c r="B43" s="12" t="s">
        <v>64</v>
      </c>
      <c r="C43" s="149" t="s">
        <v>65</v>
      </c>
      <c r="D43" s="13">
        <v>1.21</v>
      </c>
      <c r="E43" s="13">
        <v>1.41</v>
      </c>
      <c r="F43" s="132">
        <f>D43+E43</f>
        <v>2.62</v>
      </c>
      <c r="G43" s="13">
        <v>1.21</v>
      </c>
      <c r="H43" s="13">
        <v>1.41</v>
      </c>
      <c r="I43" s="132">
        <f>G43+H43</f>
        <v>2.62</v>
      </c>
      <c r="J43" s="8">
        <v>12.4</v>
      </c>
      <c r="K43" s="9">
        <v>15.3</v>
      </c>
      <c r="L43" s="9">
        <f>J43+K43</f>
        <v>27.700000000000003</v>
      </c>
    </row>
    <row r="44" spans="2:12" ht="12.75">
      <c r="B44" s="12" t="s">
        <v>182</v>
      </c>
      <c r="C44" s="149"/>
      <c r="D44" s="13">
        <v>1.06</v>
      </c>
      <c r="E44" s="13">
        <v>2.3</v>
      </c>
      <c r="F44" s="132">
        <f>D44+E44</f>
        <v>3.36</v>
      </c>
      <c r="G44" s="13">
        <v>1.06</v>
      </c>
      <c r="H44" s="13">
        <v>2.3</v>
      </c>
      <c r="I44" s="132">
        <f>G44+H44</f>
        <v>3.36</v>
      </c>
      <c r="J44" s="210"/>
      <c r="K44" s="210"/>
      <c r="L44" s="210"/>
    </row>
    <row r="45" spans="2:9" s="133" customFormat="1" ht="11.25">
      <c r="B45" s="12" t="s">
        <v>68</v>
      </c>
      <c r="C45" s="148" t="s">
        <v>69</v>
      </c>
      <c r="D45" s="13">
        <v>0.92</v>
      </c>
      <c r="E45" s="13">
        <v>1.14</v>
      </c>
      <c r="F45" s="34">
        <f>SUM(D45,E45)</f>
        <v>2.06</v>
      </c>
      <c r="G45" s="13">
        <v>0.92</v>
      </c>
      <c r="H45" s="13">
        <v>1.14</v>
      </c>
      <c r="I45" s="132">
        <f>SUM(G45:H45)</f>
        <v>2.06</v>
      </c>
    </row>
    <row r="46" spans="2:9" s="191" customFormat="1" ht="11.25">
      <c r="B46" s="186" t="s">
        <v>111</v>
      </c>
      <c r="C46" s="180" t="s">
        <v>117</v>
      </c>
      <c r="D46" s="192">
        <v>1.12</v>
      </c>
      <c r="E46" s="192">
        <v>1.98</v>
      </c>
      <c r="F46" s="189">
        <f>SUM(D46,E46)</f>
        <v>3.1</v>
      </c>
      <c r="G46" s="196">
        <f>SUM(1.2+1.2)</f>
        <v>2.4</v>
      </c>
      <c r="H46" s="196">
        <f>SUM(1.98+0.23)</f>
        <v>2.21</v>
      </c>
      <c r="I46" s="190">
        <f>SUM(G46:H46)</f>
        <v>4.609999999999999</v>
      </c>
    </row>
    <row r="47" spans="2:12" ht="12.75">
      <c r="B47" s="12" t="s">
        <v>157</v>
      </c>
      <c r="C47" s="149" t="s">
        <v>167</v>
      </c>
      <c r="D47" s="13">
        <v>1.5</v>
      </c>
      <c r="E47" s="13">
        <v>2.35</v>
      </c>
      <c r="F47" s="132">
        <f>D47+E47</f>
        <v>3.85</v>
      </c>
      <c r="G47" s="14">
        <v>1.5</v>
      </c>
      <c r="H47" s="14">
        <v>2.35</v>
      </c>
      <c r="I47" s="132">
        <f>G47+H47</f>
        <v>3.85</v>
      </c>
      <c r="J47" s="8">
        <v>9</v>
      </c>
      <c r="K47" s="9">
        <v>12</v>
      </c>
      <c r="L47" s="9">
        <f>J47+K47</f>
        <v>21</v>
      </c>
    </row>
    <row r="48" spans="2:12" ht="12.75">
      <c r="B48" s="12" t="s">
        <v>66</v>
      </c>
      <c r="C48" s="149" t="s">
        <v>67</v>
      </c>
      <c r="D48" s="13">
        <v>0.86</v>
      </c>
      <c r="E48" s="13">
        <v>1.13</v>
      </c>
      <c r="F48" s="132">
        <f>D48+E48</f>
        <v>1.9899999999999998</v>
      </c>
      <c r="G48" s="13">
        <v>0.86</v>
      </c>
      <c r="H48" s="13">
        <v>1.13</v>
      </c>
      <c r="I48" s="132">
        <f>G48+H48</f>
        <v>1.9899999999999998</v>
      </c>
      <c r="J48" s="8">
        <v>8</v>
      </c>
      <c r="K48" s="55">
        <v>10.62</v>
      </c>
      <c r="L48" s="9">
        <f>J48+K48</f>
        <v>18.619999999999997</v>
      </c>
    </row>
    <row r="51" s="185" customFormat="1" ht="12.75">
      <c r="A51" s="185" t="s">
        <v>172</v>
      </c>
    </row>
  </sheetData>
  <sheetProtection selectLockedCells="1" selectUnlockedCells="1"/>
  <mergeCells count="3">
    <mergeCell ref="B2:L2"/>
    <mergeCell ref="B3:L3"/>
    <mergeCell ref="D5:F5"/>
  </mergeCells>
  <printOptions/>
  <pageMargins left="0.7479166666666667" right="0.39375" top="0.9840277777777777" bottom="0.19652777777777777" header="0.5118055555555555" footer="0.5118055555555555"/>
  <pageSetup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="160" zoomScaleNormal="160" zoomScalePageLayoutView="0" workbookViewId="0" topLeftCell="A1">
      <pane ySplit="7" topLeftCell="A20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19.7109375" style="6" customWidth="1"/>
    <col min="2" max="2" width="16.00390625" style="37" customWidth="1"/>
    <col min="3" max="3" width="8.8515625" style="6" customWidth="1"/>
    <col min="4" max="4" width="8.28125" style="6" customWidth="1"/>
    <col min="5" max="7" width="9.140625" style="6" customWidth="1"/>
    <col min="8" max="8" width="8.57421875" style="6" customWidth="1"/>
    <col min="9" max="11" width="0" style="6" hidden="1" customWidth="1"/>
    <col min="12" max="16384" width="9.140625" style="6" customWidth="1"/>
  </cols>
  <sheetData>
    <row r="1" ht="12.75"/>
    <row r="2" spans="1:11" ht="12.75">
      <c r="A2" s="234" t="s">
        <v>70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14.25">
      <c r="A3" s="237" t="s">
        <v>174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2.75">
      <c r="A4" s="110"/>
      <c r="B4" s="111"/>
      <c r="C4" s="240" t="s">
        <v>71</v>
      </c>
      <c r="D4" s="241"/>
      <c r="E4" s="241"/>
      <c r="F4" s="112" t="s">
        <v>72</v>
      </c>
      <c r="G4" s="112" t="s">
        <v>73</v>
      </c>
      <c r="H4" s="113" t="s">
        <v>74</v>
      </c>
      <c r="I4" s="109" t="s">
        <v>75</v>
      </c>
      <c r="J4" s="109" t="s">
        <v>76</v>
      </c>
      <c r="K4" s="108" t="s">
        <v>77</v>
      </c>
    </row>
    <row r="5" spans="1:11" ht="12.75">
      <c r="A5" s="114"/>
      <c r="B5" s="115" t="s">
        <v>78</v>
      </c>
      <c r="C5" s="114"/>
      <c r="D5" s="114"/>
      <c r="E5" s="115"/>
      <c r="F5" s="115" t="s">
        <v>79</v>
      </c>
      <c r="G5" s="115" t="s">
        <v>79</v>
      </c>
      <c r="H5" s="116" t="s">
        <v>13</v>
      </c>
      <c r="I5" s="108"/>
      <c r="J5" s="108"/>
      <c r="K5" s="109" t="s">
        <v>80</v>
      </c>
    </row>
    <row r="6" spans="1:11" ht="12.75">
      <c r="A6" s="117" t="s">
        <v>11</v>
      </c>
      <c r="B6" s="117" t="s">
        <v>12</v>
      </c>
      <c r="C6" s="118" t="s">
        <v>75</v>
      </c>
      <c r="D6" s="118" t="s">
        <v>81</v>
      </c>
      <c r="E6" s="117" t="s">
        <v>82</v>
      </c>
      <c r="F6" s="119" t="s">
        <v>83</v>
      </c>
      <c r="G6" s="119" t="s">
        <v>83</v>
      </c>
      <c r="H6" s="119" t="s">
        <v>84</v>
      </c>
      <c r="I6" s="108"/>
      <c r="J6" s="108"/>
      <c r="K6" s="109" t="s">
        <v>85</v>
      </c>
    </row>
    <row r="7" spans="1:11" ht="12.75">
      <c r="A7" s="118"/>
      <c r="B7" s="150"/>
      <c r="C7" s="117" t="s">
        <v>86</v>
      </c>
      <c r="D7" s="117" t="s">
        <v>86</v>
      </c>
      <c r="E7" s="117" t="s">
        <v>86</v>
      </c>
      <c r="F7" s="117" t="s">
        <v>86</v>
      </c>
      <c r="G7" s="117" t="s">
        <v>86</v>
      </c>
      <c r="H7" s="117" t="s">
        <v>86</v>
      </c>
      <c r="I7" s="109" t="s">
        <v>87</v>
      </c>
      <c r="J7" s="109" t="s">
        <v>87</v>
      </c>
      <c r="K7" s="109" t="s">
        <v>87</v>
      </c>
    </row>
    <row r="8" spans="1:11" s="202" customFormat="1" ht="12.75">
      <c r="A8" s="179" t="s">
        <v>152</v>
      </c>
      <c r="B8" s="180" t="s">
        <v>115</v>
      </c>
      <c r="C8" s="181">
        <v>2.39</v>
      </c>
      <c r="D8" s="181">
        <v>3.68</v>
      </c>
      <c r="E8" s="182">
        <f>SUM(C8:D8)</f>
        <v>6.07</v>
      </c>
      <c r="F8" s="181">
        <v>2.39</v>
      </c>
      <c r="G8" s="181">
        <v>3.68</v>
      </c>
      <c r="H8" s="182">
        <f>SUM(F8:G8)</f>
        <v>6.07</v>
      </c>
      <c r="I8" s="201">
        <f>6.61*1.18</f>
        <v>7.7998</v>
      </c>
      <c r="J8" s="201">
        <f>14.11*1.18</f>
        <v>16.6498</v>
      </c>
      <c r="K8" s="201">
        <f>I8+J8</f>
        <v>24.4496</v>
      </c>
    </row>
    <row r="9" spans="1:11" s="159" customFormat="1" ht="12.75">
      <c r="A9" s="12" t="s">
        <v>25</v>
      </c>
      <c r="B9" s="134"/>
      <c r="C9" s="15">
        <v>1.08</v>
      </c>
      <c r="D9" s="15">
        <v>1.308</v>
      </c>
      <c r="E9" s="152">
        <f>SUM(C9:D9)</f>
        <v>2.388</v>
      </c>
      <c r="F9" s="15">
        <v>1.08</v>
      </c>
      <c r="G9" s="15">
        <v>1.308</v>
      </c>
      <c r="H9" s="152">
        <f>SUM(F9:G9)</f>
        <v>2.388</v>
      </c>
      <c r="I9" s="158"/>
      <c r="J9" s="158"/>
      <c r="K9" s="158"/>
    </row>
    <row r="10" spans="1:8" s="157" customFormat="1" ht="11.25">
      <c r="A10" s="12" t="s">
        <v>177</v>
      </c>
      <c r="B10" s="149" t="s">
        <v>158</v>
      </c>
      <c r="C10" s="15"/>
      <c r="D10" s="14"/>
      <c r="E10" s="152">
        <f>SUM(C10,D10)</f>
        <v>0</v>
      </c>
      <c r="F10" s="15"/>
      <c r="G10" s="14"/>
      <c r="H10" s="152">
        <f>SUM(F10:G10)</f>
        <v>0</v>
      </c>
    </row>
    <row r="11" spans="1:11" s="159" customFormat="1" ht="12.75">
      <c r="A11" s="12" t="s">
        <v>153</v>
      </c>
      <c r="B11" s="134" t="s">
        <v>183</v>
      </c>
      <c r="C11" s="15">
        <v>0.96</v>
      </c>
      <c r="D11" s="15">
        <v>1.32</v>
      </c>
      <c r="E11" s="152">
        <f>SUM(C11:D11)</f>
        <v>2.2800000000000002</v>
      </c>
      <c r="F11" s="15">
        <v>0.96</v>
      </c>
      <c r="G11" s="15">
        <v>1.32</v>
      </c>
      <c r="H11" s="152">
        <f>SUM(F11:G11)</f>
        <v>2.2800000000000002</v>
      </c>
      <c r="I11" s="158"/>
      <c r="J11" s="158"/>
      <c r="K11" s="158"/>
    </row>
    <row r="12" spans="1:11" s="159" customFormat="1" ht="12.75">
      <c r="A12" s="12" t="s">
        <v>95</v>
      </c>
      <c r="B12" s="149" t="s">
        <v>24</v>
      </c>
      <c r="C12" s="15">
        <v>1.26</v>
      </c>
      <c r="D12" s="15">
        <v>1.87</v>
      </c>
      <c r="E12" s="152">
        <f>C12+D12</f>
        <v>3.13</v>
      </c>
      <c r="F12" s="15">
        <v>1.26</v>
      </c>
      <c r="G12" s="15">
        <v>1.87</v>
      </c>
      <c r="H12" s="152">
        <f>SUM(F12:G12)</f>
        <v>3.13</v>
      </c>
      <c r="I12" s="158">
        <f>7.8*1.18</f>
        <v>9.203999999999999</v>
      </c>
      <c r="J12" s="158">
        <f>9.35*1.18</f>
        <v>11.033</v>
      </c>
      <c r="K12" s="158">
        <f>I12+J12</f>
        <v>20.237</v>
      </c>
    </row>
    <row r="13" spans="1:11" s="159" customFormat="1" ht="12.75">
      <c r="A13" s="12" t="s">
        <v>27</v>
      </c>
      <c r="B13" s="153" t="s">
        <v>28</v>
      </c>
      <c r="C13" s="15">
        <v>0.85</v>
      </c>
      <c r="D13" s="15">
        <v>1.7</v>
      </c>
      <c r="E13" s="152">
        <f>D13+C13</f>
        <v>2.55</v>
      </c>
      <c r="F13" s="15">
        <v>0.85</v>
      </c>
      <c r="G13" s="15">
        <v>1.7</v>
      </c>
      <c r="H13" s="152">
        <f>G13+F13</f>
        <v>2.55</v>
      </c>
      <c r="I13" s="158">
        <f>8.9*1.18</f>
        <v>10.502</v>
      </c>
      <c r="J13" s="158">
        <f>9.75*1.18</f>
        <v>11.504999999999999</v>
      </c>
      <c r="K13" s="158">
        <f>I13+J13</f>
        <v>22.006999999999998</v>
      </c>
    </row>
    <row r="14" spans="1:11" s="202" customFormat="1" ht="12.75">
      <c r="A14" s="186" t="s">
        <v>29</v>
      </c>
      <c r="B14" s="187" t="s">
        <v>30</v>
      </c>
      <c r="C14" s="181">
        <v>0.89</v>
      </c>
      <c r="D14" s="181">
        <v>1.017</v>
      </c>
      <c r="E14" s="182">
        <f>C14+D14</f>
        <v>1.907</v>
      </c>
      <c r="F14" s="181">
        <f>SUM(0.89+0.12)</f>
        <v>1.01</v>
      </c>
      <c r="G14" s="181">
        <v>1.017</v>
      </c>
      <c r="H14" s="182">
        <f>F14+G14</f>
        <v>2.027</v>
      </c>
      <c r="I14" s="201">
        <f>9.45*1.18</f>
        <v>11.150999999999998</v>
      </c>
      <c r="J14" s="201">
        <f>12.585*1.18</f>
        <v>14.8503</v>
      </c>
      <c r="K14" s="201">
        <f>I14+J14</f>
        <v>26.0013</v>
      </c>
    </row>
    <row r="15" spans="1:11" s="159" customFormat="1" ht="12.75">
      <c r="A15" s="12" t="s">
        <v>26</v>
      </c>
      <c r="B15" s="149" t="s">
        <v>159</v>
      </c>
      <c r="C15" s="15">
        <v>0.84</v>
      </c>
      <c r="D15" s="15">
        <v>1.37</v>
      </c>
      <c r="E15" s="152">
        <f>SUM(C15:D15)</f>
        <v>2.21</v>
      </c>
      <c r="F15" s="15">
        <v>0.84</v>
      </c>
      <c r="G15" s="15">
        <v>1.37</v>
      </c>
      <c r="H15" s="152">
        <f>SUM(F15:G15)</f>
        <v>2.21</v>
      </c>
      <c r="I15" s="158"/>
      <c r="J15" s="158"/>
      <c r="K15" s="158"/>
    </row>
    <row r="16" spans="1:11" s="159" customFormat="1" ht="12.75">
      <c r="A16" s="12" t="s">
        <v>31</v>
      </c>
      <c r="B16" s="149" t="s">
        <v>32</v>
      </c>
      <c r="C16" s="22">
        <v>0.84</v>
      </c>
      <c r="D16" s="22">
        <v>1.76</v>
      </c>
      <c r="E16" s="152">
        <f aca="true" t="shared" si="0" ref="E16:E21">C16+D16</f>
        <v>2.6</v>
      </c>
      <c r="F16" s="22">
        <v>0.84</v>
      </c>
      <c r="G16" s="22">
        <v>1.76</v>
      </c>
      <c r="H16" s="152">
        <f>F16+G16</f>
        <v>2.6</v>
      </c>
      <c r="I16" s="158">
        <f>8*1.18</f>
        <v>9.44</v>
      </c>
      <c r="J16" s="129">
        <f>11.5*1.18</f>
        <v>13.569999999999999</v>
      </c>
      <c r="K16" s="158">
        <f>I16+J16</f>
        <v>23.009999999999998</v>
      </c>
    </row>
    <row r="17" spans="1:11" s="159" customFormat="1" ht="12.75">
      <c r="A17" s="12" t="s">
        <v>41</v>
      </c>
      <c r="B17" s="149" t="s">
        <v>187</v>
      </c>
      <c r="C17" s="15">
        <v>1.45</v>
      </c>
      <c r="D17" s="15">
        <v>1.601</v>
      </c>
      <c r="E17" s="152">
        <f t="shared" si="0"/>
        <v>3.051</v>
      </c>
      <c r="F17" s="15">
        <v>1.45</v>
      </c>
      <c r="G17" s="15">
        <v>1.601</v>
      </c>
      <c r="H17" s="152">
        <f>SUM(F17:G17)</f>
        <v>3.051</v>
      </c>
      <c r="I17" s="158">
        <f>7.203*1.18</f>
        <v>8.49954</v>
      </c>
      <c r="J17" s="158">
        <f>10.17*1.18</f>
        <v>12.000599999999999</v>
      </c>
      <c r="K17" s="158">
        <f>I17+J17</f>
        <v>20.50014</v>
      </c>
    </row>
    <row r="18" spans="1:8" s="203" customFormat="1" ht="11.25">
      <c r="A18" s="186" t="s">
        <v>33</v>
      </c>
      <c r="B18" s="180" t="s">
        <v>161</v>
      </c>
      <c r="C18" s="181">
        <v>1.056</v>
      </c>
      <c r="D18" s="181">
        <v>1.09</v>
      </c>
      <c r="E18" s="182">
        <f>SUM(C18,D18)</f>
        <v>2.146</v>
      </c>
      <c r="F18" s="181">
        <f>SUM(1.06+0.1)</f>
        <v>1.1600000000000001</v>
      </c>
      <c r="G18" s="181">
        <f>SUM(1.09+0.08)</f>
        <v>1.1700000000000002</v>
      </c>
      <c r="H18" s="182">
        <f>SUM(F18:G18)</f>
        <v>2.33</v>
      </c>
    </row>
    <row r="19" spans="1:11" s="202" customFormat="1" ht="12.75">
      <c r="A19" s="186" t="s">
        <v>112</v>
      </c>
      <c r="B19" s="180" t="s">
        <v>113</v>
      </c>
      <c r="C19" s="181">
        <v>2.02</v>
      </c>
      <c r="D19" s="181">
        <v>3.25</v>
      </c>
      <c r="E19" s="182">
        <f>SUM(C19,D19)</f>
        <v>5.27</v>
      </c>
      <c r="F19" s="181">
        <f>SUM(2.02+0.07)</f>
        <v>2.09</v>
      </c>
      <c r="G19" s="181">
        <v>3.25</v>
      </c>
      <c r="H19" s="182">
        <f>SUM(F19:G19)</f>
        <v>5.34</v>
      </c>
      <c r="I19" s="201">
        <f>13.14*1.18</f>
        <v>15.5052</v>
      </c>
      <c r="J19" s="201">
        <f>13.14*1.18</f>
        <v>15.5052</v>
      </c>
      <c r="K19" s="201">
        <f>I19+J19</f>
        <v>31.0104</v>
      </c>
    </row>
    <row r="20" spans="1:11" s="202" customFormat="1" ht="12.75">
      <c r="A20" s="186" t="s">
        <v>34</v>
      </c>
      <c r="B20" s="187" t="s">
        <v>185</v>
      </c>
      <c r="C20" s="181">
        <v>0.82</v>
      </c>
      <c r="D20" s="181">
        <v>0.77</v>
      </c>
      <c r="E20" s="182">
        <f t="shared" si="0"/>
        <v>1.5899999999999999</v>
      </c>
      <c r="F20" s="181">
        <f>SUM(0.82+0.04)</f>
        <v>0.86</v>
      </c>
      <c r="G20" s="181">
        <f>SUM(0.77+0.05)</f>
        <v>0.8200000000000001</v>
      </c>
      <c r="H20" s="182">
        <f>F20+G20</f>
        <v>1.6800000000000002</v>
      </c>
      <c r="I20" s="201">
        <f>9.32*1.18</f>
        <v>10.9976</v>
      </c>
      <c r="J20" s="201">
        <f>12.71*1.18</f>
        <v>14.9978</v>
      </c>
      <c r="K20" s="201">
        <f>I20+J20</f>
        <v>25.9954</v>
      </c>
    </row>
    <row r="21" spans="1:11" s="159" customFormat="1" ht="12.75">
      <c r="A21" s="12" t="s">
        <v>35</v>
      </c>
      <c r="B21" s="149" t="s">
        <v>36</v>
      </c>
      <c r="C21" s="15">
        <v>1.27</v>
      </c>
      <c r="D21" s="15">
        <v>2.36</v>
      </c>
      <c r="E21" s="152">
        <f t="shared" si="0"/>
        <v>3.63</v>
      </c>
      <c r="F21" s="15">
        <v>1.27</v>
      </c>
      <c r="G21" s="15">
        <v>2.36</v>
      </c>
      <c r="H21" s="152">
        <f>SUM(F21:G21)</f>
        <v>3.63</v>
      </c>
      <c r="I21" s="158"/>
      <c r="J21" s="158"/>
      <c r="K21" s="158"/>
    </row>
    <row r="22" spans="1:8" s="203" customFormat="1" ht="11.25">
      <c r="A22" s="186" t="s">
        <v>37</v>
      </c>
      <c r="B22" s="197" t="s">
        <v>38</v>
      </c>
      <c r="C22" s="181">
        <v>1.2</v>
      </c>
      <c r="D22" s="181">
        <v>2.496</v>
      </c>
      <c r="E22" s="182">
        <f>SUM(C22,D22)</f>
        <v>3.6959999999999997</v>
      </c>
      <c r="F22" s="181">
        <f>SUM(1.2+0.13)</f>
        <v>1.33</v>
      </c>
      <c r="G22" s="181">
        <f>SUM(2.5+0.19)</f>
        <v>2.69</v>
      </c>
      <c r="H22" s="182">
        <f>SUM(F22:G22)</f>
        <v>4.02</v>
      </c>
    </row>
    <row r="23" spans="1:11" s="159" customFormat="1" ht="12.75">
      <c r="A23" s="12" t="s">
        <v>154</v>
      </c>
      <c r="B23" s="148" t="s">
        <v>114</v>
      </c>
      <c r="C23" s="15">
        <v>1.38</v>
      </c>
      <c r="D23" s="15">
        <v>1.73</v>
      </c>
      <c r="E23" s="152">
        <f>SUM(C23,D23)</f>
        <v>3.11</v>
      </c>
      <c r="F23" s="15">
        <v>1.38</v>
      </c>
      <c r="G23" s="15">
        <v>1.73</v>
      </c>
      <c r="H23" s="152">
        <f>SUM(F23:G23)</f>
        <v>3.11</v>
      </c>
      <c r="I23" s="158">
        <f>11.02*1.18</f>
        <v>13.003599999999999</v>
      </c>
      <c r="J23" s="158">
        <f>14.41*1.18</f>
        <v>17.0038</v>
      </c>
      <c r="K23" s="158">
        <f>I23+J23</f>
        <v>30.007399999999997</v>
      </c>
    </row>
    <row r="24" spans="1:11" s="202" customFormat="1" ht="12.75">
      <c r="A24" s="179" t="s">
        <v>39</v>
      </c>
      <c r="B24" s="187" t="s">
        <v>166</v>
      </c>
      <c r="C24" s="181">
        <v>1.36</v>
      </c>
      <c r="D24" s="181">
        <v>2.1</v>
      </c>
      <c r="E24" s="182">
        <f>SUM(C24,D24)</f>
        <v>3.46</v>
      </c>
      <c r="F24" s="181">
        <f>SUM(1.36+0.02)</f>
        <v>1.3800000000000001</v>
      </c>
      <c r="G24" s="181">
        <f>SUM(2.1+0.02)</f>
        <v>2.12</v>
      </c>
      <c r="H24" s="182">
        <f>SUM(F24,G24)</f>
        <v>3.5</v>
      </c>
      <c r="I24" s="201"/>
      <c r="J24" s="201"/>
      <c r="K24" s="201"/>
    </row>
    <row r="25" spans="1:11" s="159" customFormat="1" ht="12.75">
      <c r="A25" s="12" t="s">
        <v>42</v>
      </c>
      <c r="B25" s="149" t="s">
        <v>94</v>
      </c>
      <c r="C25" s="15">
        <v>0.96</v>
      </c>
      <c r="D25" s="15">
        <v>1.368</v>
      </c>
      <c r="E25" s="152">
        <f>C25+D25</f>
        <v>2.3280000000000003</v>
      </c>
      <c r="F25" s="15">
        <v>0.96</v>
      </c>
      <c r="G25" s="15">
        <v>1.368</v>
      </c>
      <c r="H25" s="152">
        <f>F25+G25</f>
        <v>2.3280000000000003</v>
      </c>
      <c r="I25" s="158"/>
      <c r="J25" s="158"/>
      <c r="K25" s="158"/>
    </row>
    <row r="26" spans="1:11" s="159" customFormat="1" ht="12.75">
      <c r="A26" s="12" t="s">
        <v>43</v>
      </c>
      <c r="B26" s="149"/>
      <c r="C26" s="15">
        <v>1.128</v>
      </c>
      <c r="D26" s="15">
        <v>1.356</v>
      </c>
      <c r="E26" s="152">
        <f>SUM(C26:D26)</f>
        <v>2.484</v>
      </c>
      <c r="F26" s="15">
        <v>1.128</v>
      </c>
      <c r="G26" s="15">
        <v>1.356</v>
      </c>
      <c r="H26" s="152">
        <f>SUM(F26:G26)</f>
        <v>2.484</v>
      </c>
      <c r="I26" s="158"/>
      <c r="J26" s="158"/>
      <c r="K26" s="158"/>
    </row>
    <row r="27" spans="1:11" s="202" customFormat="1" ht="12.75">
      <c r="A27" s="186" t="s">
        <v>45</v>
      </c>
      <c r="B27" s="187" t="s">
        <v>169</v>
      </c>
      <c r="C27" s="181">
        <v>0.94</v>
      </c>
      <c r="D27" s="181">
        <v>2.03</v>
      </c>
      <c r="E27" s="182">
        <f>C27+D27</f>
        <v>2.9699999999999998</v>
      </c>
      <c r="F27" s="181">
        <f>SUM(0.94+0.2)</f>
        <v>1.14</v>
      </c>
      <c r="G27" s="181">
        <f>SUM(2.03+0.17)</f>
        <v>2.1999999999999997</v>
      </c>
      <c r="H27" s="182">
        <f>F27+G27</f>
        <v>3.34</v>
      </c>
      <c r="I27" s="201">
        <f>9.576*1.18</f>
        <v>11.29968</v>
      </c>
      <c r="J27" s="201">
        <f>13.22*1.18</f>
        <v>15.5996</v>
      </c>
      <c r="K27" s="201">
        <f>I27+J27</f>
        <v>26.89928</v>
      </c>
    </row>
    <row r="28" spans="1:11" s="159" customFormat="1" ht="12.75">
      <c r="A28" s="12" t="s">
        <v>89</v>
      </c>
      <c r="B28" s="149" t="s">
        <v>47</v>
      </c>
      <c r="C28" s="15">
        <v>1.54</v>
      </c>
      <c r="D28" s="15">
        <v>1.54</v>
      </c>
      <c r="E28" s="152">
        <f>C28+D28</f>
        <v>3.08</v>
      </c>
      <c r="F28" s="15">
        <v>1.54</v>
      </c>
      <c r="G28" s="15">
        <v>1.54</v>
      </c>
      <c r="H28" s="152">
        <f>SUM(F28:G28)</f>
        <v>3.08</v>
      </c>
      <c r="I28" s="158">
        <f>7.2*1.18</f>
        <v>8.496</v>
      </c>
      <c r="J28" s="129">
        <f>25*1.18</f>
        <v>29.5</v>
      </c>
      <c r="K28" s="158">
        <f>I28+J28</f>
        <v>37.996</v>
      </c>
    </row>
    <row r="29" spans="1:11" s="159" customFormat="1" ht="12.75">
      <c r="A29" s="12" t="s">
        <v>49</v>
      </c>
      <c r="B29" s="149" t="s">
        <v>170</v>
      </c>
      <c r="C29" s="15">
        <v>0.9</v>
      </c>
      <c r="D29" s="15">
        <v>1.49</v>
      </c>
      <c r="E29" s="152">
        <f>SUM(C29,D29)</f>
        <v>2.39</v>
      </c>
      <c r="F29" s="15">
        <v>0.9</v>
      </c>
      <c r="G29" s="15">
        <v>1.49</v>
      </c>
      <c r="H29" s="152">
        <f>SUM(F29,G29)</f>
        <v>2.39</v>
      </c>
      <c r="I29" s="158">
        <f>15*1.18</f>
        <v>17.7</v>
      </c>
      <c r="J29" s="158">
        <f>15*1.18</f>
        <v>17.7</v>
      </c>
      <c r="K29" s="158">
        <f>I29+J29</f>
        <v>35.4</v>
      </c>
    </row>
    <row r="30" spans="1:11" s="159" customFormat="1" ht="12.75">
      <c r="A30" s="12" t="s">
        <v>44</v>
      </c>
      <c r="B30" s="149" t="s">
        <v>162</v>
      </c>
      <c r="C30" s="15">
        <v>1.26</v>
      </c>
      <c r="D30" s="15">
        <v>1.62</v>
      </c>
      <c r="E30" s="152">
        <f>SUM(C30:D30)</f>
        <v>2.88</v>
      </c>
      <c r="F30" s="15">
        <v>1.26</v>
      </c>
      <c r="G30" s="15">
        <v>1.62</v>
      </c>
      <c r="H30" s="152">
        <f>SUM(F30:G30)</f>
        <v>2.88</v>
      </c>
      <c r="I30" s="158">
        <f>10*1.18</f>
        <v>11.799999999999999</v>
      </c>
      <c r="J30" s="158">
        <f>25*1.18</f>
        <v>29.5</v>
      </c>
      <c r="K30" s="158">
        <f>I30+J30</f>
        <v>41.3</v>
      </c>
    </row>
    <row r="31" spans="1:11" s="159" customFormat="1" ht="12" customHeight="1">
      <c r="A31" s="12" t="s">
        <v>48</v>
      </c>
      <c r="B31" s="149" t="s">
        <v>163</v>
      </c>
      <c r="C31" s="15">
        <v>1.08</v>
      </c>
      <c r="D31" s="15">
        <v>1.65</v>
      </c>
      <c r="E31" s="152">
        <f>C31+D31</f>
        <v>2.73</v>
      </c>
      <c r="F31" s="15">
        <v>1.08</v>
      </c>
      <c r="G31" s="15">
        <v>1.65</v>
      </c>
      <c r="H31" s="152">
        <f>SUM(F31:G31)</f>
        <v>2.73</v>
      </c>
      <c r="I31" s="158"/>
      <c r="J31" s="158"/>
      <c r="K31" s="158"/>
    </row>
    <row r="32" spans="1:11" s="159" customFormat="1" ht="12.75">
      <c r="A32" s="21" t="s">
        <v>50</v>
      </c>
      <c r="B32" s="154" t="s">
        <v>51</v>
      </c>
      <c r="C32" s="15">
        <v>0.89</v>
      </c>
      <c r="D32" s="15">
        <v>0.744</v>
      </c>
      <c r="E32" s="152">
        <f>C32+D32</f>
        <v>1.634</v>
      </c>
      <c r="F32" s="15">
        <v>0.89</v>
      </c>
      <c r="G32" s="15">
        <v>0.744</v>
      </c>
      <c r="H32" s="152">
        <f>SUM(F32:G32)</f>
        <v>1.634</v>
      </c>
      <c r="I32" s="158">
        <f>11.44*1.18</f>
        <v>13.499199999999998</v>
      </c>
      <c r="J32" s="158">
        <f>8.9*1.18</f>
        <v>10.502</v>
      </c>
      <c r="K32" s="158">
        <f>I32+J32</f>
        <v>24.001199999999997</v>
      </c>
    </row>
    <row r="33" spans="1:11" s="159" customFormat="1" ht="12.75">
      <c r="A33" s="12" t="s">
        <v>52</v>
      </c>
      <c r="B33" s="149" t="s">
        <v>131</v>
      </c>
      <c r="C33" s="15">
        <v>0.85</v>
      </c>
      <c r="D33" s="15">
        <v>1.13</v>
      </c>
      <c r="E33" s="152">
        <f>D33+C33</f>
        <v>1.98</v>
      </c>
      <c r="F33" s="15">
        <v>0.85</v>
      </c>
      <c r="G33" s="15">
        <v>1.13</v>
      </c>
      <c r="H33" s="152">
        <f>G33+F33</f>
        <v>1.98</v>
      </c>
      <c r="I33" s="158">
        <f>10.68*1.18</f>
        <v>12.6024</v>
      </c>
      <c r="J33" s="158">
        <f>12.2*1.18</f>
        <v>14.395999999999999</v>
      </c>
      <c r="K33" s="158">
        <f>I33+J33</f>
        <v>26.998399999999997</v>
      </c>
    </row>
    <row r="34" spans="1:11" s="159" customFormat="1" ht="12.75">
      <c r="A34" s="12" t="s">
        <v>56</v>
      </c>
      <c r="B34" s="134" t="s">
        <v>110</v>
      </c>
      <c r="C34" s="15">
        <v>1.24</v>
      </c>
      <c r="D34" s="15">
        <v>2.14</v>
      </c>
      <c r="E34" s="152">
        <f>SUM(C34,D34)</f>
        <v>3.38</v>
      </c>
      <c r="F34" s="15">
        <v>1.24</v>
      </c>
      <c r="G34" s="15">
        <v>2.14</v>
      </c>
      <c r="H34" s="152">
        <f>SUM(F34,G34)</f>
        <v>3.38</v>
      </c>
      <c r="I34" s="158">
        <f>10.3*1.18</f>
        <v>12.154</v>
      </c>
      <c r="J34" s="158">
        <f>10.58*1.18</f>
        <v>12.484399999999999</v>
      </c>
      <c r="K34" s="158">
        <f>I34+J34</f>
        <v>24.638399999999997</v>
      </c>
    </row>
    <row r="35" spans="1:11" s="159" customFormat="1" ht="12.75">
      <c r="A35" s="12" t="s">
        <v>53</v>
      </c>
      <c r="B35" s="134" t="s">
        <v>54</v>
      </c>
      <c r="C35" s="15">
        <v>1.07</v>
      </c>
      <c r="D35" s="15">
        <v>0.9</v>
      </c>
      <c r="E35" s="152">
        <f>SUM(C35,D35)</f>
        <v>1.9700000000000002</v>
      </c>
      <c r="F35" s="15">
        <v>1.07</v>
      </c>
      <c r="G35" s="15">
        <v>0.9</v>
      </c>
      <c r="H35" s="152">
        <f>SUM(F35,G35)</f>
        <v>1.9700000000000002</v>
      </c>
      <c r="I35" s="158">
        <f>18.5*1.18</f>
        <v>21.83</v>
      </c>
      <c r="J35" s="129">
        <f>26*1.18</f>
        <v>30.68</v>
      </c>
      <c r="K35" s="158">
        <f>I35+J35</f>
        <v>52.51</v>
      </c>
    </row>
    <row r="36" spans="1:11" s="159" customFormat="1" ht="12.75">
      <c r="A36" s="12" t="s">
        <v>91</v>
      </c>
      <c r="B36" s="149" t="s">
        <v>55</v>
      </c>
      <c r="C36" s="15">
        <v>2.03</v>
      </c>
      <c r="D36" s="15">
        <v>3.04</v>
      </c>
      <c r="E36" s="152">
        <f>SUM(C36,D36)</f>
        <v>5.07</v>
      </c>
      <c r="F36" s="15">
        <v>2.03</v>
      </c>
      <c r="G36" s="15">
        <v>3.04</v>
      </c>
      <c r="H36" s="152">
        <f>SUM(F36,G36)</f>
        <v>5.07</v>
      </c>
      <c r="I36" s="158"/>
      <c r="J36" s="129"/>
      <c r="K36" s="158"/>
    </row>
    <row r="37" spans="1:11" s="159" customFormat="1" ht="12.75">
      <c r="A37" s="12" t="s">
        <v>57</v>
      </c>
      <c r="B37" s="149" t="s">
        <v>58</v>
      </c>
      <c r="C37" s="15">
        <v>2.78</v>
      </c>
      <c r="D37" s="15">
        <v>2.06</v>
      </c>
      <c r="E37" s="152">
        <f>SUM(C37,D37)</f>
        <v>4.84</v>
      </c>
      <c r="F37" s="15">
        <v>2.784</v>
      </c>
      <c r="G37" s="15">
        <v>2.06</v>
      </c>
      <c r="H37" s="152">
        <f>SUM(F37,G37)</f>
        <v>4.843999999999999</v>
      </c>
      <c r="I37" s="158">
        <f>26.27*1.18</f>
        <v>30.998599999999996</v>
      </c>
      <c r="J37" s="158">
        <f>19.2*1.18</f>
        <v>22.656</v>
      </c>
      <c r="K37" s="158">
        <f>I37+J37</f>
        <v>53.654599999999995</v>
      </c>
    </row>
    <row r="38" spans="1:11" s="159" customFormat="1" ht="12.75">
      <c r="A38" s="12" t="s">
        <v>155</v>
      </c>
      <c r="B38" s="149" t="s">
        <v>59</v>
      </c>
      <c r="C38" s="15">
        <v>1.26</v>
      </c>
      <c r="D38" s="15">
        <v>1.6</v>
      </c>
      <c r="E38" s="152">
        <f>SUM(C38:D38)</f>
        <v>2.8600000000000003</v>
      </c>
      <c r="F38" s="15">
        <v>1.26</v>
      </c>
      <c r="G38" s="15">
        <v>1.6</v>
      </c>
      <c r="H38" s="152">
        <f>SUM(F38:G38)</f>
        <v>2.8600000000000003</v>
      </c>
      <c r="I38" s="158">
        <f>11.02*1.18</f>
        <v>13.003599999999999</v>
      </c>
      <c r="J38" s="158">
        <f>12.63*1.18</f>
        <v>14.9034</v>
      </c>
      <c r="K38" s="158">
        <f>I38+J38</f>
        <v>27.906999999999996</v>
      </c>
    </row>
    <row r="39" spans="1:11" s="159" customFormat="1" ht="12.75">
      <c r="A39" s="12" t="s">
        <v>60</v>
      </c>
      <c r="B39" s="149" t="s">
        <v>61</v>
      </c>
      <c r="C39" s="15">
        <v>0.7</v>
      </c>
      <c r="D39" s="15">
        <v>1.2</v>
      </c>
      <c r="E39" s="152">
        <f>C39+D39</f>
        <v>1.9</v>
      </c>
      <c r="F39" s="15">
        <v>0.7</v>
      </c>
      <c r="G39" s="15">
        <v>1.2</v>
      </c>
      <c r="H39" s="152">
        <f>F39+G39</f>
        <v>1.9</v>
      </c>
      <c r="I39" s="158">
        <f>9.15*1.18</f>
        <v>10.797</v>
      </c>
      <c r="J39" s="158">
        <f>11.19*1.18</f>
        <v>13.204199999999998</v>
      </c>
      <c r="K39" s="158">
        <f>I39+J39</f>
        <v>24.001199999999997</v>
      </c>
    </row>
    <row r="40" spans="1:11" s="159" customFormat="1" ht="12.75">
      <c r="A40" s="12" t="s">
        <v>156</v>
      </c>
      <c r="B40" s="149" t="s">
        <v>62</v>
      </c>
      <c r="C40" s="15">
        <v>0.8448</v>
      </c>
      <c r="D40" s="15">
        <v>1.62</v>
      </c>
      <c r="E40" s="152">
        <f>C40+D40</f>
        <v>2.4648000000000003</v>
      </c>
      <c r="F40" s="15">
        <v>0.8448</v>
      </c>
      <c r="G40" s="15">
        <v>1.62</v>
      </c>
      <c r="H40" s="152">
        <f>F40+G40</f>
        <v>2.4648000000000003</v>
      </c>
      <c r="I40" s="158"/>
      <c r="J40" s="158"/>
      <c r="K40" s="158"/>
    </row>
    <row r="41" spans="1:11" s="159" customFormat="1" ht="12.75">
      <c r="A41" s="12" t="s">
        <v>63</v>
      </c>
      <c r="B41" s="149" t="s">
        <v>132</v>
      </c>
      <c r="C41" s="15">
        <v>1.15</v>
      </c>
      <c r="D41" s="15">
        <v>1.26</v>
      </c>
      <c r="E41" s="152">
        <f>SUM(C41,D41)</f>
        <v>2.41</v>
      </c>
      <c r="F41" s="15">
        <v>1.15</v>
      </c>
      <c r="G41" s="15">
        <v>1.26</v>
      </c>
      <c r="H41" s="152">
        <f>SUM(F41,G41)</f>
        <v>2.41</v>
      </c>
      <c r="I41" s="158"/>
      <c r="J41" s="158"/>
      <c r="K41" s="158"/>
    </row>
    <row r="42" spans="1:11" s="159" customFormat="1" ht="12.75">
      <c r="A42" s="12" t="s">
        <v>64</v>
      </c>
      <c r="B42" s="149" t="s">
        <v>65</v>
      </c>
      <c r="C42" s="22">
        <v>1.21</v>
      </c>
      <c r="D42" s="22">
        <v>1.41</v>
      </c>
      <c r="E42" s="152">
        <f>C42+D42</f>
        <v>2.62</v>
      </c>
      <c r="F42" s="22">
        <v>1.21</v>
      </c>
      <c r="G42" s="22">
        <v>1.41</v>
      </c>
      <c r="H42" s="152">
        <f>F42+G42</f>
        <v>2.62</v>
      </c>
      <c r="I42" s="158">
        <f>11.44*1.18</f>
        <v>13.499199999999998</v>
      </c>
      <c r="J42" s="158">
        <f>15.68*1.18</f>
        <v>18.502399999999998</v>
      </c>
      <c r="K42" s="158">
        <f>I42+J42</f>
        <v>32.001599999999996</v>
      </c>
    </row>
    <row r="43" spans="1:11" s="159" customFormat="1" ht="12.75">
      <c r="A43" s="12" t="s">
        <v>181</v>
      </c>
      <c r="B43" s="149"/>
      <c r="C43" s="22">
        <v>1.06</v>
      </c>
      <c r="D43" s="22">
        <v>2.3</v>
      </c>
      <c r="E43" s="152">
        <f>C43+D43</f>
        <v>3.36</v>
      </c>
      <c r="F43" s="22">
        <v>1.06</v>
      </c>
      <c r="G43" s="22">
        <v>2.3</v>
      </c>
      <c r="H43" s="152">
        <f>F43+G43</f>
        <v>3.36</v>
      </c>
      <c r="I43" s="158"/>
      <c r="J43" s="158"/>
      <c r="K43" s="158"/>
    </row>
    <row r="44" spans="1:8" s="157" customFormat="1" ht="11.25" customHeight="1">
      <c r="A44" s="12" t="s">
        <v>68</v>
      </c>
      <c r="B44" s="148" t="s">
        <v>69</v>
      </c>
      <c r="C44" s="15">
        <v>0.92</v>
      </c>
      <c r="D44" s="15">
        <v>1.14</v>
      </c>
      <c r="E44" s="152">
        <f>SUM(C44,D44)</f>
        <v>2.06</v>
      </c>
      <c r="F44" s="15">
        <v>0.92</v>
      </c>
      <c r="G44" s="15">
        <v>1.14</v>
      </c>
      <c r="H44" s="152">
        <f>SUM(F44:G44)</f>
        <v>2.06</v>
      </c>
    </row>
    <row r="45" spans="1:8" s="203" customFormat="1" ht="11.25">
      <c r="A45" s="186" t="s">
        <v>111</v>
      </c>
      <c r="B45" s="180" t="s">
        <v>117</v>
      </c>
      <c r="C45" s="181">
        <v>1.12</v>
      </c>
      <c r="D45" s="181">
        <v>1.98</v>
      </c>
      <c r="E45" s="182">
        <f>SUM(C45,D45)</f>
        <v>3.1</v>
      </c>
      <c r="F45" s="181">
        <f>SUM(1.12+0.21)</f>
        <v>1.33</v>
      </c>
      <c r="G45" s="181">
        <f>SUM(1.98+0.02)</f>
        <v>2</v>
      </c>
      <c r="H45" s="182">
        <f>SUM(F45:G45)</f>
        <v>3.33</v>
      </c>
    </row>
    <row r="46" spans="1:11" s="159" customFormat="1" ht="12.75">
      <c r="A46" s="12" t="s">
        <v>157</v>
      </c>
      <c r="B46" s="149" t="s">
        <v>168</v>
      </c>
      <c r="C46" s="15">
        <v>1.76</v>
      </c>
      <c r="D46" s="15">
        <v>2.64</v>
      </c>
      <c r="E46" s="152">
        <f>C46+D46</f>
        <v>4.4</v>
      </c>
      <c r="F46" s="15">
        <v>1.76</v>
      </c>
      <c r="G46" s="15">
        <v>2.64</v>
      </c>
      <c r="H46" s="152">
        <f>F46+G46</f>
        <v>4.4</v>
      </c>
      <c r="I46" s="158">
        <f>9*1.18</f>
        <v>10.62</v>
      </c>
      <c r="J46" s="158">
        <f>12*1.18</f>
        <v>14.16</v>
      </c>
      <c r="K46" s="158">
        <f>I46+J46</f>
        <v>24.78</v>
      </c>
    </row>
    <row r="47" spans="1:11" s="159" customFormat="1" ht="12.75">
      <c r="A47" s="12" t="s">
        <v>66</v>
      </c>
      <c r="B47" s="149" t="s">
        <v>67</v>
      </c>
      <c r="C47" s="15">
        <v>0.86</v>
      </c>
      <c r="D47" s="15">
        <v>1.13</v>
      </c>
      <c r="E47" s="152">
        <f>C47+D47</f>
        <v>1.9899999999999998</v>
      </c>
      <c r="F47" s="15">
        <v>0.86</v>
      </c>
      <c r="G47" s="15">
        <v>1.13</v>
      </c>
      <c r="H47" s="152">
        <f>F47+G47</f>
        <v>1.9899999999999998</v>
      </c>
      <c r="I47" s="158">
        <f>10*1.18</f>
        <v>11.799999999999999</v>
      </c>
      <c r="J47" s="129">
        <f>13*1.18</f>
        <v>15.34</v>
      </c>
      <c r="K47" s="158">
        <f>I47+J47</f>
        <v>27.14</v>
      </c>
    </row>
    <row r="48" spans="9:11" ht="12.75">
      <c r="I48" s="151"/>
      <c r="J48" s="151"/>
      <c r="K48" s="151"/>
    </row>
    <row r="49" spans="3:8" ht="12.75">
      <c r="C49" s="38"/>
      <c r="D49" s="38"/>
      <c r="E49" s="38"/>
      <c r="F49" s="38"/>
      <c r="G49" s="38"/>
      <c r="H49" s="39"/>
    </row>
    <row r="50" spans="1:5" s="200" customFormat="1" ht="12.75">
      <c r="A50" s="200" t="s">
        <v>172</v>
      </c>
      <c r="B50" s="204"/>
      <c r="E50" s="205"/>
    </row>
    <row r="51" ht="12.75">
      <c r="E51" s="38"/>
    </row>
  </sheetData>
  <sheetProtection selectLockedCells="1" selectUnlockedCells="1"/>
  <mergeCells count="3">
    <mergeCell ref="A2:K2"/>
    <mergeCell ref="A3:K3"/>
    <mergeCell ref="C4:E4"/>
  </mergeCells>
  <printOptions/>
  <pageMargins left="0.7479166666666667" right="0.7479166666666667" top="0.5902777777777778" bottom="0.5902777777777778" header="0.5118055555555555" footer="0.5118055555555555"/>
  <pageSetup horizontalDpi="600" verticalDpi="600" orientation="portrait" paperSize="9" scale="89" r:id="rId3"/>
  <rowBreaks count="1" manualBreakCount="1">
    <brk id="47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7"/>
  <sheetViews>
    <sheetView zoomScale="85" zoomScaleNormal="85" zoomScaleSheetLayoutView="55" zoomScalePageLayoutView="0" workbookViewId="0" topLeftCell="A16">
      <selection activeCell="B36" sqref="B36"/>
    </sheetView>
  </sheetViews>
  <sheetFormatPr defaultColWidth="9.140625" defaultRowHeight="12.75"/>
  <cols>
    <col min="2" max="2" width="22.7109375" style="0" customWidth="1"/>
    <col min="3" max="4" width="6.8515625" style="26" customWidth="1"/>
  </cols>
  <sheetData>
    <row r="2" spans="1:5" ht="12.75">
      <c r="A2" s="242" t="s">
        <v>129</v>
      </c>
      <c r="B2" s="242"/>
      <c r="C2" s="242"/>
      <c r="D2" s="242"/>
      <c r="E2" s="242"/>
    </row>
    <row r="3" spans="2:3" ht="12.75">
      <c r="B3" s="120" t="s">
        <v>130</v>
      </c>
      <c r="C3" s="26" t="s">
        <v>122</v>
      </c>
    </row>
    <row r="5" spans="2:4" ht="12.75">
      <c r="B5" s="208" t="s">
        <v>11</v>
      </c>
      <c r="C5" s="208" t="s">
        <v>75</v>
      </c>
      <c r="D5" s="208" t="s">
        <v>81</v>
      </c>
    </row>
    <row r="6" spans="2:4" ht="12.75">
      <c r="B6" s="209"/>
      <c r="C6" s="208" t="s">
        <v>118</v>
      </c>
      <c r="D6" s="208" t="s">
        <v>118</v>
      </c>
    </row>
    <row r="7" spans="2:4" ht="12.75">
      <c r="B7" s="21" t="s">
        <v>152</v>
      </c>
      <c r="C7" s="15">
        <f>'Veeteenused elanikkonnale'!G9</f>
        <v>1.75</v>
      </c>
      <c r="D7" s="15">
        <f>'Veeteenused elanikkonnale'!H9</f>
        <v>2.7800000000000002</v>
      </c>
    </row>
    <row r="8" spans="2:4" ht="12.75">
      <c r="B8" s="12" t="s">
        <v>25</v>
      </c>
      <c r="C8" s="15">
        <f>'Veeteenused elanikkonnale'!G10</f>
        <v>1.08</v>
      </c>
      <c r="D8" s="15">
        <f>'Veeteenused elanikkonnale'!H10</f>
        <v>1.308</v>
      </c>
    </row>
    <row r="9" spans="2:4" ht="12.75">
      <c r="B9" s="12" t="s">
        <v>179</v>
      </c>
      <c r="C9" s="22">
        <f>'Veeteenused elanikkonnale'!G11</f>
        <v>1.02</v>
      </c>
      <c r="D9" s="22">
        <f>'Veeteenused elanikkonnale'!H11</f>
        <v>0.83</v>
      </c>
    </row>
    <row r="10" spans="2:4" ht="12.75">
      <c r="B10" s="12" t="s">
        <v>153</v>
      </c>
      <c r="C10" s="15">
        <f>'Veeteenused elanikkonnale'!G12</f>
        <v>0.94</v>
      </c>
      <c r="D10" s="15">
        <f>'Veeteenused elanikkonnale'!H12</f>
        <v>1.3</v>
      </c>
    </row>
    <row r="11" spans="2:4" ht="12.75">
      <c r="B11" s="12" t="s">
        <v>95</v>
      </c>
      <c r="C11" s="22">
        <f>'Veeteenused elanikkonnale'!G13</f>
        <v>1.056</v>
      </c>
      <c r="D11" s="22">
        <f>'Veeteenused elanikkonnale'!H13</f>
        <v>1.56</v>
      </c>
    </row>
    <row r="12" spans="2:4" ht="12.75">
      <c r="B12" s="12" t="s">
        <v>27</v>
      </c>
      <c r="C12" s="15">
        <f>'Veeteenused elanikkonnale'!G14</f>
        <v>0.85</v>
      </c>
      <c r="D12" s="15">
        <f>'Veeteenused elanikkonnale'!H14</f>
        <v>1.176</v>
      </c>
    </row>
    <row r="13" spans="2:4" ht="12.75">
      <c r="B13" s="12" t="s">
        <v>29</v>
      </c>
      <c r="C13" s="22">
        <f>'Veeteenused elanikkonnale'!G15</f>
        <v>0.75</v>
      </c>
      <c r="D13" s="22">
        <f>'Veeteenused elanikkonnale'!H15</f>
        <v>0.96</v>
      </c>
    </row>
    <row r="14" spans="2:4" ht="12.75">
      <c r="B14" s="12" t="s">
        <v>26</v>
      </c>
      <c r="C14" s="22">
        <f>'Veeteenused elanikkonnale'!G16</f>
        <v>1</v>
      </c>
      <c r="D14" s="22">
        <f>'Veeteenused elanikkonnale'!H16</f>
        <v>1.54</v>
      </c>
    </row>
    <row r="15" spans="2:4" ht="12.75">
      <c r="B15" s="12" t="s">
        <v>31</v>
      </c>
      <c r="C15" s="22">
        <f>'Veeteenused elanikkonnale'!G17</f>
        <v>0.84</v>
      </c>
      <c r="D15" s="22">
        <f>'Veeteenused elanikkonnale'!H17</f>
        <v>1.764</v>
      </c>
    </row>
    <row r="16" spans="2:4" ht="12.75">
      <c r="B16" s="12" t="s">
        <v>41</v>
      </c>
      <c r="C16" s="22">
        <f>'Veeteenused elanikkonnale'!G18</f>
        <v>1.38</v>
      </c>
      <c r="D16" s="22">
        <f>'Veeteenused elanikkonnale'!H18</f>
        <v>1.553</v>
      </c>
    </row>
    <row r="17" spans="2:4" ht="12.75">
      <c r="B17" s="12" t="s">
        <v>33</v>
      </c>
      <c r="C17" s="15">
        <f>'Veeteenused elanikkonnale'!G19</f>
        <v>1.2000000000000002</v>
      </c>
      <c r="D17" s="15">
        <f>'Veeteenused elanikkonnale'!H19</f>
        <v>1.23</v>
      </c>
    </row>
    <row r="18" spans="2:4" ht="12.75">
      <c r="B18" s="12" t="s">
        <v>112</v>
      </c>
      <c r="C18" s="15">
        <f>'Veeteenused elanikkonnale'!G20</f>
        <v>1.55</v>
      </c>
      <c r="D18" s="15">
        <f>'Veeteenused elanikkonnale'!H20</f>
        <v>2.02</v>
      </c>
    </row>
    <row r="19" spans="2:4" ht="12.75">
      <c r="B19" s="12" t="s">
        <v>34</v>
      </c>
      <c r="C19" s="15">
        <f>'Veeteenused elanikkonnale'!G21</f>
        <v>0.9099999999999999</v>
      </c>
      <c r="D19" s="15">
        <f>'Veeteenused elanikkonnale'!H21</f>
        <v>0.87</v>
      </c>
    </row>
    <row r="20" spans="2:4" ht="12.75">
      <c r="B20" s="12" t="s">
        <v>35</v>
      </c>
      <c r="C20" s="22">
        <f>'Veeteenused elanikkonnale'!G22</f>
        <v>1.056</v>
      </c>
      <c r="D20" s="22">
        <f>'Veeteenused elanikkonnale'!H22</f>
        <v>1.968</v>
      </c>
    </row>
    <row r="21" spans="2:4" ht="12.75">
      <c r="B21" s="12" t="s">
        <v>37</v>
      </c>
      <c r="C21" s="15">
        <f>'Veeteenused elanikkonnale'!G23</f>
        <v>1.31</v>
      </c>
      <c r="D21" s="15">
        <f>'Veeteenused elanikkonnale'!H23</f>
        <v>2.68</v>
      </c>
    </row>
    <row r="22" spans="2:4" ht="12.75">
      <c r="B22" s="12" t="s">
        <v>154</v>
      </c>
      <c r="C22" s="22">
        <f>'Veeteenused elanikkonnale'!G24</f>
        <v>1.38</v>
      </c>
      <c r="D22" s="22">
        <f>'Veeteenused elanikkonnale'!H24</f>
        <v>1.44</v>
      </c>
    </row>
    <row r="23" spans="2:4" ht="12.75">
      <c r="B23" s="21" t="s">
        <v>39</v>
      </c>
      <c r="C23" s="15">
        <f>'Veeteenused elanikkonnale'!G25</f>
        <v>1.06</v>
      </c>
      <c r="D23" s="15">
        <f>'Veeteenused elanikkonnale'!H25</f>
        <v>1.6</v>
      </c>
    </row>
    <row r="24" spans="2:4" ht="12.75">
      <c r="B24" s="12" t="s">
        <v>42</v>
      </c>
      <c r="C24" s="22">
        <f>'Veeteenused elanikkonnale'!G26</f>
        <v>0.96</v>
      </c>
      <c r="D24" s="22">
        <f>'Veeteenused elanikkonnale'!H26</f>
        <v>1.368</v>
      </c>
    </row>
    <row r="25" spans="2:4" ht="12.75">
      <c r="B25" s="12" t="s">
        <v>43</v>
      </c>
      <c r="C25" s="22">
        <f>'Veeteenused elanikkonnale'!G27</f>
        <v>1.128</v>
      </c>
      <c r="D25" s="22">
        <f>'Veeteenused elanikkonnale'!H27</f>
        <v>1.356</v>
      </c>
    </row>
    <row r="26" spans="2:4" ht="12.75">
      <c r="B26" s="12" t="s">
        <v>45</v>
      </c>
      <c r="C26" s="15">
        <f>'Veeteenused elanikkonnale'!G28</f>
        <v>1.05</v>
      </c>
      <c r="D26" s="15">
        <f>'Veeteenused elanikkonnale'!H28</f>
        <v>1.5899999999999999</v>
      </c>
    </row>
    <row r="27" spans="2:4" ht="12.75">
      <c r="B27" s="12" t="s">
        <v>89</v>
      </c>
      <c r="C27" s="22">
        <f>'Veeteenused elanikkonnale'!G29</f>
        <v>1.07</v>
      </c>
      <c r="D27" s="22">
        <f>'Veeteenused elanikkonnale'!H29</f>
        <v>1.07</v>
      </c>
    </row>
    <row r="28" spans="2:4" ht="12.75">
      <c r="B28" s="12" t="s">
        <v>49</v>
      </c>
      <c r="C28" s="22">
        <f>'Veeteenused elanikkonnale'!G30</f>
        <v>0.9</v>
      </c>
      <c r="D28" s="22">
        <f>'Veeteenused elanikkonnale'!H30</f>
        <v>1.49</v>
      </c>
    </row>
    <row r="29" spans="2:4" ht="12.75">
      <c r="B29" s="12" t="s">
        <v>44</v>
      </c>
      <c r="C29" s="22">
        <f>'Veeteenused elanikkonnale'!G31</f>
        <v>1.14</v>
      </c>
      <c r="D29" s="22">
        <f>'Veeteenused elanikkonnale'!H31</f>
        <v>1.44</v>
      </c>
    </row>
    <row r="30" spans="2:4" ht="12.75">
      <c r="B30" s="12" t="s">
        <v>48</v>
      </c>
      <c r="C30" s="22">
        <f>'Veeteenused elanikkonnale'!G32</f>
        <v>0.74</v>
      </c>
      <c r="D30" s="22">
        <f>'Veeteenused elanikkonnale'!H32</f>
        <v>1.46</v>
      </c>
    </row>
    <row r="31" spans="2:4" ht="12.75">
      <c r="B31" s="21" t="s">
        <v>50</v>
      </c>
      <c r="C31" s="22">
        <f>'Veeteenused elanikkonnale'!G33</f>
        <v>0.89</v>
      </c>
      <c r="D31" s="22">
        <f>'Veeteenused elanikkonnale'!H33</f>
        <v>0.73</v>
      </c>
    </row>
    <row r="32" spans="2:4" ht="12.75">
      <c r="B32" s="12" t="s">
        <v>52</v>
      </c>
      <c r="C32" s="22">
        <f>'Veeteenused elanikkonnale'!G34</f>
        <v>0.85</v>
      </c>
      <c r="D32" s="22">
        <f>'Veeteenused elanikkonnale'!H34</f>
        <v>1.13</v>
      </c>
    </row>
    <row r="33" spans="2:4" ht="12.75">
      <c r="B33" s="12" t="s">
        <v>56</v>
      </c>
      <c r="C33" s="22">
        <f>'Veeteenused elanikkonnale'!G35</f>
        <v>0.83</v>
      </c>
      <c r="D33" s="22">
        <f>'Veeteenused elanikkonnale'!H35</f>
        <v>0.97</v>
      </c>
    </row>
    <row r="34" spans="2:4" ht="12.75">
      <c r="B34" s="12" t="s">
        <v>53</v>
      </c>
      <c r="C34" s="22">
        <f>'Veeteenused elanikkonnale'!G36</f>
        <v>0.92</v>
      </c>
      <c r="D34" s="22">
        <f>'Veeteenused elanikkonnale'!H36</f>
        <v>0.71</v>
      </c>
    </row>
    <row r="35" spans="2:4" ht="12.75">
      <c r="B35" s="12" t="s">
        <v>91</v>
      </c>
      <c r="C35" s="22">
        <f>'Veeteenused elanikkonnale'!G37</f>
        <v>1.06</v>
      </c>
      <c r="D35" s="22">
        <f>'Veeteenused elanikkonnale'!H37</f>
        <v>1.58</v>
      </c>
    </row>
    <row r="36" spans="2:4" ht="12.75">
      <c r="B36" s="12" t="s">
        <v>57</v>
      </c>
      <c r="C36" s="22">
        <f>'Veeteenused elanikkonnale'!G38</f>
        <v>1.14</v>
      </c>
      <c r="D36" s="22">
        <f>'Veeteenused elanikkonnale'!H38</f>
        <v>0.93</v>
      </c>
    </row>
    <row r="37" spans="2:4" ht="12.75">
      <c r="B37" s="12" t="s">
        <v>155</v>
      </c>
      <c r="C37" s="22">
        <f>'Veeteenused elanikkonnale'!G39</f>
        <v>1.07</v>
      </c>
      <c r="D37" s="22">
        <f>'Veeteenused elanikkonnale'!H39</f>
        <v>1.36</v>
      </c>
    </row>
    <row r="38" spans="2:4" ht="12.75">
      <c r="B38" s="12" t="s">
        <v>60</v>
      </c>
      <c r="C38" s="22">
        <f>'Veeteenused elanikkonnale'!G40</f>
        <v>0.7</v>
      </c>
      <c r="D38" s="22">
        <f>'Veeteenused elanikkonnale'!H40</f>
        <v>1.2</v>
      </c>
    </row>
    <row r="39" spans="2:4" ht="12.75">
      <c r="B39" s="12" t="s">
        <v>156</v>
      </c>
      <c r="C39" s="22">
        <f>'Veeteenused elanikkonnale'!G41</f>
        <v>0.84</v>
      </c>
      <c r="D39" s="22">
        <f>'Veeteenused elanikkonnale'!H41</f>
        <v>1.62</v>
      </c>
    </row>
    <row r="40" spans="2:4" ht="12.75">
      <c r="B40" s="12" t="s">
        <v>63</v>
      </c>
      <c r="C40" s="22">
        <f>'Veeteenused elanikkonnale'!G42</f>
        <v>0.96</v>
      </c>
      <c r="D40" s="22">
        <f>'Veeteenused elanikkonnale'!H42</f>
        <v>1.08</v>
      </c>
    </row>
    <row r="41" spans="2:4" ht="12.75">
      <c r="B41" s="12" t="s">
        <v>64</v>
      </c>
      <c r="C41" s="22">
        <f>'Veeteenused elanikkonnale'!G43</f>
        <v>1.21</v>
      </c>
      <c r="D41" s="22">
        <f>'Veeteenused elanikkonnale'!H43</f>
        <v>1.41</v>
      </c>
    </row>
    <row r="42" spans="2:4" ht="12.75">
      <c r="B42" s="12" t="s">
        <v>182</v>
      </c>
      <c r="C42" s="22">
        <f>'Veeteenused elanikkonnale'!G44</f>
        <v>1.06</v>
      </c>
      <c r="D42" s="22">
        <f>'Veeteenused elanikkonnale'!H44</f>
        <v>2.3</v>
      </c>
    </row>
    <row r="43" spans="2:4" ht="12.75">
      <c r="B43" s="12" t="s">
        <v>68</v>
      </c>
      <c r="C43" s="22">
        <f>'Veeteenused elanikkonnale'!G45</f>
        <v>0.92</v>
      </c>
      <c r="D43" s="22">
        <f>'Veeteenused elanikkonnale'!H45</f>
        <v>1.14</v>
      </c>
    </row>
    <row r="44" spans="2:4" ht="12.75">
      <c r="B44" s="12" t="s">
        <v>111</v>
      </c>
      <c r="C44" s="15">
        <f>'Veeteenused elanikkonnale'!G46</f>
        <v>2.4</v>
      </c>
      <c r="D44" s="15">
        <f>'Veeteenused elanikkonnale'!H46</f>
        <v>2.21</v>
      </c>
    </row>
    <row r="45" spans="2:4" ht="12.75">
      <c r="B45" s="12" t="s">
        <v>157</v>
      </c>
      <c r="C45" s="15">
        <f>'Veeteenused elanikkonnale'!G47</f>
        <v>1.5</v>
      </c>
      <c r="D45" s="15">
        <f>'Veeteenused elanikkonnale'!H47</f>
        <v>2.35</v>
      </c>
    </row>
    <row r="46" spans="2:4" ht="13.5" thickBot="1">
      <c r="B46" s="12" t="s">
        <v>66</v>
      </c>
      <c r="C46" s="22">
        <f>'Veeteenused elanikkonnale'!G48</f>
        <v>0.86</v>
      </c>
      <c r="D46" s="22">
        <f>'Veeteenused elanikkonnale'!H48</f>
        <v>1.13</v>
      </c>
    </row>
    <row r="47" spans="2:4" ht="13.5" thickBot="1">
      <c r="B47" s="16" t="s">
        <v>100</v>
      </c>
      <c r="C47" s="17">
        <f>AVERAGE(C7:C46)</f>
        <v>1.08325</v>
      </c>
      <c r="D47" s="18">
        <f>AVERAGE(D7:D46)</f>
        <v>1.455075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25">
      <selection activeCell="B36" sqref="B36"/>
    </sheetView>
  </sheetViews>
  <sheetFormatPr defaultColWidth="9.140625" defaultRowHeight="12.75"/>
  <cols>
    <col min="2" max="2" width="22.140625" style="0" customWidth="1"/>
    <col min="3" max="3" width="7.140625" style="0" customWidth="1"/>
    <col min="4" max="4" width="6.57421875" style="0" customWidth="1"/>
  </cols>
  <sheetData>
    <row r="2" spans="1:5" ht="12.75">
      <c r="A2" s="242" t="s">
        <v>96</v>
      </c>
      <c r="B2" s="242"/>
      <c r="C2" s="242"/>
      <c r="D2" s="242"/>
      <c r="E2" s="242"/>
    </row>
    <row r="3" spans="2:3" ht="12.75">
      <c r="B3" s="120" t="s">
        <v>130</v>
      </c>
      <c r="C3" t="s">
        <v>122</v>
      </c>
    </row>
    <row r="5" spans="2:4" ht="12.75">
      <c r="B5" s="19" t="s">
        <v>11</v>
      </c>
      <c r="C5" s="20" t="s">
        <v>75</v>
      </c>
      <c r="D5" s="20" t="s">
        <v>81</v>
      </c>
    </row>
    <row r="6" spans="2:4" ht="12.75">
      <c r="B6" s="20"/>
      <c r="C6" s="19" t="s">
        <v>86</v>
      </c>
      <c r="D6" s="19" t="s">
        <v>86</v>
      </c>
    </row>
    <row r="7" spans="2:4" ht="12.75">
      <c r="B7" s="21" t="s">
        <v>152</v>
      </c>
      <c r="C7" s="15">
        <f>'Veeteenused ettevõtetele'!F8</f>
        <v>2.39</v>
      </c>
      <c r="D7" s="15">
        <f>'Veeteenused ettevõtetele'!G8</f>
        <v>3.68</v>
      </c>
    </row>
    <row r="8" spans="2:4" ht="12.75">
      <c r="B8" s="12" t="s">
        <v>25</v>
      </c>
      <c r="C8" s="15">
        <f>'Veeteenused ettevõtetele'!F9</f>
        <v>1.08</v>
      </c>
      <c r="D8" s="15">
        <f>'Veeteenused ettevõtetele'!G9</f>
        <v>1.308</v>
      </c>
    </row>
    <row r="9" spans="2:4" ht="12.75">
      <c r="B9" s="12" t="s">
        <v>178</v>
      </c>
      <c r="C9" s="15">
        <f>'Veeteenused ettevõtetele'!F10</f>
        <v>0</v>
      </c>
      <c r="D9" s="15">
        <f>'Veeteenused ettevõtetele'!G10</f>
        <v>0</v>
      </c>
    </row>
    <row r="10" spans="2:4" ht="12.75">
      <c r="B10" s="12" t="s">
        <v>153</v>
      </c>
      <c r="C10" s="15">
        <f>'Veeteenused ettevõtetele'!F11</f>
        <v>0.96</v>
      </c>
      <c r="D10" s="15">
        <f>'Veeteenused ettevõtetele'!G11</f>
        <v>1.32</v>
      </c>
    </row>
    <row r="11" spans="2:4" ht="12.75">
      <c r="B11" s="12" t="s">
        <v>95</v>
      </c>
      <c r="C11" s="15">
        <f>'Veeteenused ettevõtetele'!F12</f>
        <v>1.26</v>
      </c>
      <c r="D11" s="15">
        <f>'Veeteenused ettevõtetele'!G12</f>
        <v>1.87</v>
      </c>
    </row>
    <row r="12" spans="2:4" ht="12.75">
      <c r="B12" s="12" t="s">
        <v>27</v>
      </c>
      <c r="C12" s="15">
        <f>'Veeteenused ettevõtetele'!F13</f>
        <v>0.85</v>
      </c>
      <c r="D12" s="15">
        <f>'Veeteenused ettevõtetele'!G13</f>
        <v>1.7</v>
      </c>
    </row>
    <row r="13" spans="2:4" ht="12.75">
      <c r="B13" s="12" t="s">
        <v>29</v>
      </c>
      <c r="C13" s="15">
        <f>'Veeteenused ettevõtetele'!F14</f>
        <v>1.01</v>
      </c>
      <c r="D13" s="15">
        <f>'Veeteenused ettevõtetele'!G14</f>
        <v>1.017</v>
      </c>
    </row>
    <row r="14" spans="2:4" ht="12.75">
      <c r="B14" s="12" t="s">
        <v>26</v>
      </c>
      <c r="C14" s="15">
        <f>'Veeteenused ettevõtetele'!F15</f>
        <v>0.84</v>
      </c>
      <c r="D14" s="15">
        <f>'Veeteenused ettevõtetele'!G15</f>
        <v>1.37</v>
      </c>
    </row>
    <row r="15" spans="2:4" ht="12.75">
      <c r="B15" s="12" t="s">
        <v>31</v>
      </c>
      <c r="C15" s="22">
        <f>'Veeteenused ettevõtetele'!F16</f>
        <v>0.84</v>
      </c>
      <c r="D15" s="22">
        <f>'Veeteenused ettevõtetele'!G16</f>
        <v>1.76</v>
      </c>
    </row>
    <row r="16" spans="2:4" ht="12.75">
      <c r="B16" s="12" t="s">
        <v>41</v>
      </c>
      <c r="C16" s="15">
        <f>'Veeteenused ettevõtetele'!F17</f>
        <v>1.45</v>
      </c>
      <c r="D16" s="15">
        <f>'Veeteenused ettevõtetele'!G17</f>
        <v>1.601</v>
      </c>
    </row>
    <row r="17" spans="2:4" ht="12.75">
      <c r="B17" s="12" t="s">
        <v>33</v>
      </c>
      <c r="C17" s="15">
        <f>'Veeteenused ettevõtetele'!F18</f>
        <v>1.1600000000000001</v>
      </c>
      <c r="D17" s="15">
        <f>'Veeteenused ettevõtetele'!G18</f>
        <v>1.1700000000000002</v>
      </c>
    </row>
    <row r="18" spans="2:4" ht="12.75">
      <c r="B18" s="12" t="s">
        <v>112</v>
      </c>
      <c r="C18" s="15">
        <f>'Veeteenused ettevõtetele'!F19</f>
        <v>2.09</v>
      </c>
      <c r="D18" s="15">
        <f>'Veeteenused ettevõtetele'!G19</f>
        <v>3.25</v>
      </c>
    </row>
    <row r="19" spans="2:4" ht="12.75">
      <c r="B19" s="12" t="s">
        <v>34</v>
      </c>
      <c r="C19" s="15">
        <f>'Veeteenused ettevõtetele'!F20</f>
        <v>0.86</v>
      </c>
      <c r="D19" s="15">
        <f>'Veeteenused ettevõtetele'!G20</f>
        <v>0.8200000000000001</v>
      </c>
    </row>
    <row r="20" spans="2:4" ht="12.75">
      <c r="B20" s="12" t="s">
        <v>35</v>
      </c>
      <c r="C20" s="15">
        <f>'Veeteenused ettevõtetele'!F21</f>
        <v>1.27</v>
      </c>
      <c r="D20" s="15">
        <f>'Veeteenused ettevõtetele'!G21</f>
        <v>2.36</v>
      </c>
    </row>
    <row r="21" spans="2:4" ht="12.75">
      <c r="B21" s="12" t="s">
        <v>37</v>
      </c>
      <c r="C21" s="15">
        <f>'Veeteenused ettevõtetele'!F22</f>
        <v>1.33</v>
      </c>
      <c r="D21" s="15">
        <f>'Veeteenused ettevõtetele'!G22</f>
        <v>2.69</v>
      </c>
    </row>
    <row r="22" spans="2:4" ht="12.75">
      <c r="B22" s="12" t="s">
        <v>154</v>
      </c>
      <c r="C22" s="15">
        <f>'Veeteenused ettevõtetele'!F23</f>
        <v>1.38</v>
      </c>
      <c r="D22" s="15">
        <f>'Veeteenused ettevõtetele'!G23</f>
        <v>1.73</v>
      </c>
    </row>
    <row r="23" spans="2:4" ht="12.75">
      <c r="B23" s="21" t="s">
        <v>39</v>
      </c>
      <c r="C23" s="15">
        <f>'Veeteenused ettevõtetele'!F24</f>
        <v>1.3800000000000001</v>
      </c>
      <c r="D23" s="15">
        <f>'Veeteenused ettevõtetele'!G24</f>
        <v>2.12</v>
      </c>
    </row>
    <row r="24" spans="2:4" ht="12.75">
      <c r="B24" s="12" t="s">
        <v>42</v>
      </c>
      <c r="C24" s="15">
        <f>'Veeteenused ettevõtetele'!F25</f>
        <v>0.96</v>
      </c>
      <c r="D24" s="15">
        <f>'Veeteenused ettevõtetele'!G25</f>
        <v>1.368</v>
      </c>
    </row>
    <row r="25" spans="2:4" ht="12.75">
      <c r="B25" s="12" t="s">
        <v>43</v>
      </c>
      <c r="C25" s="15">
        <f>'Veeteenused ettevõtetele'!F26</f>
        <v>1.128</v>
      </c>
      <c r="D25" s="15">
        <f>'Veeteenused ettevõtetele'!G26</f>
        <v>1.356</v>
      </c>
    </row>
    <row r="26" spans="2:4" ht="12.75">
      <c r="B26" s="12" t="s">
        <v>45</v>
      </c>
      <c r="C26" s="15">
        <f>'Veeteenused ettevõtetele'!F27</f>
        <v>1.14</v>
      </c>
      <c r="D26" s="15">
        <f>'Veeteenused ettevõtetele'!G27</f>
        <v>2.1999999999999997</v>
      </c>
    </row>
    <row r="27" spans="2:4" ht="12.75">
      <c r="B27" s="12" t="s">
        <v>89</v>
      </c>
      <c r="C27" s="15">
        <f>'Veeteenused ettevõtetele'!F28</f>
        <v>1.54</v>
      </c>
      <c r="D27" s="15">
        <f>'Veeteenused ettevõtetele'!G28</f>
        <v>1.54</v>
      </c>
    </row>
    <row r="28" spans="2:4" ht="12.75">
      <c r="B28" s="12" t="s">
        <v>49</v>
      </c>
      <c r="C28" s="15">
        <f>'Veeteenused ettevõtetele'!F29</f>
        <v>0.9</v>
      </c>
      <c r="D28" s="15">
        <f>'Veeteenused ettevõtetele'!G29</f>
        <v>1.49</v>
      </c>
    </row>
    <row r="29" spans="2:4" ht="12.75">
      <c r="B29" s="12" t="s">
        <v>44</v>
      </c>
      <c r="C29" s="15">
        <f>'Veeteenused ettevõtetele'!F30</f>
        <v>1.26</v>
      </c>
      <c r="D29" s="15">
        <f>'Veeteenused ettevõtetele'!G30</f>
        <v>1.62</v>
      </c>
    </row>
    <row r="30" spans="2:4" ht="12.75">
      <c r="B30" s="12" t="s">
        <v>48</v>
      </c>
      <c r="C30" s="15">
        <f>'Veeteenused ettevõtetele'!F31</f>
        <v>1.08</v>
      </c>
      <c r="D30" s="15">
        <f>'Veeteenused ettevõtetele'!G31</f>
        <v>1.65</v>
      </c>
    </row>
    <row r="31" spans="2:4" ht="12.75">
      <c r="B31" s="21" t="s">
        <v>50</v>
      </c>
      <c r="C31" s="15">
        <f>'Veeteenused ettevõtetele'!F32</f>
        <v>0.89</v>
      </c>
      <c r="D31" s="15">
        <f>'Veeteenused ettevõtetele'!G32</f>
        <v>0.744</v>
      </c>
    </row>
    <row r="32" spans="2:4" ht="12.75">
      <c r="B32" s="12" t="s">
        <v>52</v>
      </c>
      <c r="C32" s="15">
        <f>'Veeteenused ettevõtetele'!F33</f>
        <v>0.85</v>
      </c>
      <c r="D32" s="15">
        <f>'Veeteenused ettevõtetele'!G33</f>
        <v>1.13</v>
      </c>
    </row>
    <row r="33" spans="2:4" ht="12.75">
      <c r="B33" s="12" t="s">
        <v>56</v>
      </c>
      <c r="C33" s="15">
        <f>'Veeteenused ettevõtetele'!F34</f>
        <v>1.24</v>
      </c>
      <c r="D33" s="15">
        <f>'Veeteenused ettevõtetele'!G34</f>
        <v>2.14</v>
      </c>
    </row>
    <row r="34" spans="2:4" ht="12.75">
      <c r="B34" s="12" t="s">
        <v>53</v>
      </c>
      <c r="C34" s="15">
        <f>'Veeteenused ettevõtetele'!F35</f>
        <v>1.07</v>
      </c>
      <c r="D34" s="15">
        <f>'Veeteenused ettevõtetele'!G35</f>
        <v>0.9</v>
      </c>
    </row>
    <row r="35" spans="2:4" ht="12.75">
      <c r="B35" s="12" t="s">
        <v>91</v>
      </c>
      <c r="C35" s="15">
        <f>'Veeteenused ettevõtetele'!F36</f>
        <v>2.03</v>
      </c>
      <c r="D35" s="15">
        <f>'Veeteenused ettevõtetele'!G36</f>
        <v>3.04</v>
      </c>
    </row>
    <row r="36" spans="2:4" ht="12.75">
      <c r="B36" s="12" t="s">
        <v>57</v>
      </c>
      <c r="C36" s="15">
        <f>'Veeteenused ettevõtetele'!F37</f>
        <v>2.784</v>
      </c>
      <c r="D36" s="15">
        <f>'Veeteenused ettevõtetele'!G37</f>
        <v>2.06</v>
      </c>
    </row>
    <row r="37" spans="2:4" ht="12.75">
      <c r="B37" s="12" t="s">
        <v>155</v>
      </c>
      <c r="C37" s="15">
        <f>'Veeteenused ettevõtetele'!F38</f>
        <v>1.26</v>
      </c>
      <c r="D37" s="15">
        <f>'Veeteenused ettevõtetele'!G38</f>
        <v>1.6</v>
      </c>
    </row>
    <row r="38" spans="2:4" ht="12.75">
      <c r="B38" s="12" t="s">
        <v>60</v>
      </c>
      <c r="C38" s="15">
        <f>'Veeteenused ettevõtetele'!F39</f>
        <v>0.7</v>
      </c>
      <c r="D38" s="15">
        <f>'Veeteenused ettevõtetele'!G39</f>
        <v>1.2</v>
      </c>
    </row>
    <row r="39" spans="2:4" ht="12.75">
      <c r="B39" s="12" t="s">
        <v>156</v>
      </c>
      <c r="C39" s="15">
        <f>'Veeteenused ettevõtetele'!F40</f>
        <v>0.8448</v>
      </c>
      <c r="D39" s="15">
        <f>'Veeteenused ettevõtetele'!G40</f>
        <v>1.62</v>
      </c>
    </row>
    <row r="40" spans="2:4" ht="12.75">
      <c r="B40" s="12" t="s">
        <v>63</v>
      </c>
      <c r="C40" s="15">
        <f>'Veeteenused ettevõtetele'!F41</f>
        <v>1.15</v>
      </c>
      <c r="D40" s="15">
        <f>'Veeteenused ettevõtetele'!G41</f>
        <v>1.26</v>
      </c>
    </row>
    <row r="41" spans="2:4" ht="12.75">
      <c r="B41" s="12" t="s">
        <v>64</v>
      </c>
      <c r="C41" s="22">
        <f>'Veeteenused ettevõtetele'!F42</f>
        <v>1.21</v>
      </c>
      <c r="D41" s="22">
        <f>'Veeteenused ettevõtetele'!G42</f>
        <v>1.41</v>
      </c>
    </row>
    <row r="42" spans="2:4" ht="12.75">
      <c r="B42" s="12" t="s">
        <v>182</v>
      </c>
      <c r="C42" s="22">
        <f>'Veeteenused ettevõtetele'!F43</f>
        <v>1.06</v>
      </c>
      <c r="D42" s="22">
        <f>'Veeteenused ettevõtetele'!G43</f>
        <v>2.3</v>
      </c>
    </row>
    <row r="43" spans="2:4" ht="12.75">
      <c r="B43" s="12" t="s">
        <v>68</v>
      </c>
      <c r="C43" s="15">
        <f>'Veeteenused ettevõtetele'!F44</f>
        <v>0.92</v>
      </c>
      <c r="D43" s="15">
        <f>'Veeteenused ettevõtetele'!G44</f>
        <v>1.14</v>
      </c>
    </row>
    <row r="44" spans="2:4" ht="12.75">
      <c r="B44" s="12" t="s">
        <v>111</v>
      </c>
      <c r="C44" s="15">
        <f>'Veeteenused ettevõtetele'!F45</f>
        <v>1.33</v>
      </c>
      <c r="D44" s="15">
        <f>'Veeteenused ettevõtetele'!G45</f>
        <v>2</v>
      </c>
    </row>
    <row r="45" spans="2:4" ht="12.75">
      <c r="B45" s="12" t="s">
        <v>157</v>
      </c>
      <c r="C45" s="15">
        <f>'Veeteenused ettevõtetele'!F46</f>
        <v>1.76</v>
      </c>
      <c r="D45" s="15">
        <f>'Veeteenused ettevõtetele'!G46</f>
        <v>2.64</v>
      </c>
    </row>
    <row r="46" spans="2:4" ht="13.5" thickBot="1">
      <c r="B46" s="12" t="s">
        <v>66</v>
      </c>
      <c r="C46" s="15">
        <f>'Veeteenused ettevõtetele'!F47</f>
        <v>0.86</v>
      </c>
      <c r="D46" s="15">
        <f>'Veeteenused ettevõtetele'!G47</f>
        <v>1.13</v>
      </c>
    </row>
    <row r="47" spans="2:4" ht="13.5" thickBot="1">
      <c r="B47" s="16" t="s">
        <v>100</v>
      </c>
      <c r="C47" s="17">
        <f>AVERAGE(C8:C46)</f>
        <v>1.1724820512820513</v>
      </c>
      <c r="D47" s="18">
        <f>AVERAGE(D8:D46)</f>
        <v>1.6313846153846154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14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I34" sqref="I34"/>
    </sheetView>
  </sheetViews>
  <sheetFormatPr defaultColWidth="9.140625" defaultRowHeight="12.75"/>
  <cols>
    <col min="1" max="1" width="20.421875" style="6" customWidth="1"/>
    <col min="2" max="2" width="10.8515625" style="6" customWidth="1"/>
    <col min="3" max="3" width="12.28125" style="6" customWidth="1"/>
    <col min="4" max="4" width="10.7109375" style="6" customWidth="1"/>
    <col min="5" max="5" width="11.421875" style="6" customWidth="1"/>
    <col min="6" max="7" width="10.8515625" style="6" customWidth="1"/>
    <col min="8" max="8" width="11.00390625" style="6" customWidth="1"/>
    <col min="9" max="9" width="10.8515625" style="6" customWidth="1"/>
    <col min="10" max="10" width="9.140625" style="6" customWidth="1"/>
    <col min="11" max="11" width="7.57421875" style="6" customWidth="1"/>
    <col min="12" max="12" width="7.140625" style="6" customWidth="1"/>
    <col min="13" max="13" width="9.421875" style="6" customWidth="1"/>
    <col min="14" max="14" width="6.8515625" style="6" customWidth="1"/>
    <col min="15" max="15" width="7.421875" style="6" customWidth="1"/>
    <col min="16" max="16384" width="9.140625" style="6" customWidth="1"/>
  </cols>
  <sheetData>
    <row r="1" spans="1:15" ht="14.25">
      <c r="A1" s="245" t="s">
        <v>173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s="59" customFormat="1" ht="13.5">
      <c r="A2" s="56"/>
      <c r="B2" s="244" t="s">
        <v>123</v>
      </c>
      <c r="C2" s="244"/>
      <c r="D2" s="244"/>
      <c r="E2" s="244"/>
      <c r="F2" s="244" t="s">
        <v>101</v>
      </c>
      <c r="G2" s="244"/>
      <c r="H2" s="244"/>
      <c r="I2" s="244"/>
      <c r="J2" s="246" t="s">
        <v>124</v>
      </c>
      <c r="K2" s="246"/>
      <c r="L2" s="246"/>
      <c r="M2" s="246"/>
      <c r="N2" s="57" t="s">
        <v>102</v>
      </c>
      <c r="O2" s="58"/>
    </row>
    <row r="3" spans="1:15" s="59" customFormat="1" ht="13.5">
      <c r="A3" s="60" t="s">
        <v>103</v>
      </c>
      <c r="B3" s="244" t="s">
        <v>97</v>
      </c>
      <c r="C3" s="244"/>
      <c r="D3" s="244" t="s">
        <v>104</v>
      </c>
      <c r="E3" s="244"/>
      <c r="F3" s="244" t="s">
        <v>97</v>
      </c>
      <c r="G3" s="244"/>
      <c r="H3" s="244" t="s">
        <v>104</v>
      </c>
      <c r="I3" s="244"/>
      <c r="J3" s="244" t="s">
        <v>97</v>
      </c>
      <c r="K3" s="244"/>
      <c r="L3" s="246" t="s">
        <v>104</v>
      </c>
      <c r="M3" s="246"/>
      <c r="N3" s="243" t="s">
        <v>125</v>
      </c>
      <c r="O3" s="243"/>
    </row>
    <row r="4" spans="1:15" s="59" customFormat="1" ht="12.75">
      <c r="A4" s="61"/>
      <c r="B4" s="62" t="s">
        <v>105</v>
      </c>
      <c r="C4" s="62" t="s">
        <v>106</v>
      </c>
      <c r="D4" s="62" t="s">
        <v>107</v>
      </c>
      <c r="E4" s="62" t="s">
        <v>106</v>
      </c>
      <c r="F4" s="62" t="s">
        <v>98</v>
      </c>
      <c r="G4" s="62" t="s">
        <v>106</v>
      </c>
      <c r="H4" s="62" t="s">
        <v>98</v>
      </c>
      <c r="I4" s="62" t="s">
        <v>106</v>
      </c>
      <c r="J4" s="62" t="s">
        <v>98</v>
      </c>
      <c r="K4" s="62" t="s">
        <v>106</v>
      </c>
      <c r="L4" s="62" t="s">
        <v>98</v>
      </c>
      <c r="M4" s="62" t="s">
        <v>106</v>
      </c>
      <c r="N4" s="62" t="s">
        <v>98</v>
      </c>
      <c r="O4" s="62" t="s">
        <v>106</v>
      </c>
    </row>
    <row r="5" spans="1:15" ht="12.75">
      <c r="A5" s="12" t="s">
        <v>152</v>
      </c>
      <c r="B5" s="23">
        <v>376.939</v>
      </c>
      <c r="C5" s="23">
        <v>201.241</v>
      </c>
      <c r="D5" s="23">
        <v>501.658</v>
      </c>
      <c r="E5" s="23">
        <v>249.63</v>
      </c>
      <c r="F5" s="23">
        <v>370.89</v>
      </c>
      <c r="G5" s="23">
        <v>121.416</v>
      </c>
      <c r="H5" s="23">
        <v>356.168</v>
      </c>
      <c r="I5" s="25">
        <v>117.224</v>
      </c>
      <c r="J5" s="23">
        <f>B5/F5</f>
        <v>1.0163094178867051</v>
      </c>
      <c r="K5" s="23">
        <f>C5/G5</f>
        <v>1.6574504183962577</v>
      </c>
      <c r="L5" s="23">
        <f>D5/H5</f>
        <v>1.4084870061319377</v>
      </c>
      <c r="M5" s="23">
        <f>E5/I5</f>
        <v>2.1295127277690575</v>
      </c>
      <c r="N5" s="24">
        <f>J5+L5</f>
        <v>2.424796424018643</v>
      </c>
      <c r="O5" s="24">
        <f>K5+M5</f>
        <v>3.7869631461653155</v>
      </c>
    </row>
    <row r="6" spans="1:15" ht="12.75">
      <c r="A6" s="12" t="s">
        <v>25</v>
      </c>
      <c r="B6" s="23">
        <v>321.937</v>
      </c>
      <c r="C6" s="23">
        <v>174.292</v>
      </c>
      <c r="D6" s="23">
        <v>382.264</v>
      </c>
      <c r="E6" s="23">
        <v>264.032</v>
      </c>
      <c r="F6" s="23">
        <v>356.13</v>
      </c>
      <c r="G6" s="23">
        <v>220.125</v>
      </c>
      <c r="H6" s="23">
        <v>364.637</v>
      </c>
      <c r="I6" s="25">
        <v>190.518</v>
      </c>
      <c r="J6" s="23">
        <f aca="true" t="shared" si="0" ref="J6:J44">B6/F6</f>
        <v>0.9039873080055036</v>
      </c>
      <c r="K6" s="23">
        <f aca="true" t="shared" si="1" ref="K6:K44">C6/G6</f>
        <v>0.791786484951732</v>
      </c>
      <c r="L6" s="23">
        <f aca="true" t="shared" si="2" ref="L6:L44">D6/H6</f>
        <v>1.0483412270285244</v>
      </c>
      <c r="M6" s="23">
        <f aca="true" t="shared" si="3" ref="M6:M44">E6/I6</f>
        <v>1.3858638028952643</v>
      </c>
      <c r="N6" s="24">
        <f aca="true" t="shared" si="4" ref="N6:N44">J6+L6</f>
        <v>1.952328535034028</v>
      </c>
      <c r="O6" s="24">
        <f aca="true" t="shared" si="5" ref="O6:O44">K6+M6</f>
        <v>2.1776502878469963</v>
      </c>
    </row>
    <row r="7" spans="1:15" ht="12.75">
      <c r="A7" s="12" t="s">
        <v>177</v>
      </c>
      <c r="B7" s="23">
        <v>88.1</v>
      </c>
      <c r="C7" s="23">
        <v>0</v>
      </c>
      <c r="D7" s="23">
        <v>68.7</v>
      </c>
      <c r="E7" s="23">
        <v>0</v>
      </c>
      <c r="F7" s="23">
        <v>119.9</v>
      </c>
      <c r="G7" s="23">
        <v>0</v>
      </c>
      <c r="H7" s="23">
        <v>115.7</v>
      </c>
      <c r="I7" s="25">
        <v>0</v>
      </c>
      <c r="J7" s="23">
        <f t="shared" si="0"/>
        <v>0.7347789824854044</v>
      </c>
      <c r="K7" s="23">
        <v>0</v>
      </c>
      <c r="L7" s="23">
        <f t="shared" si="2"/>
        <v>0.5937770095073466</v>
      </c>
      <c r="M7" s="23">
        <v>0</v>
      </c>
      <c r="N7" s="24">
        <f t="shared" si="4"/>
        <v>1.328555991992751</v>
      </c>
      <c r="O7" s="24">
        <v>0</v>
      </c>
    </row>
    <row r="8" spans="1:15" ht="12.75">
      <c r="A8" s="12" t="s">
        <v>153</v>
      </c>
      <c r="B8" s="23">
        <v>317.802</v>
      </c>
      <c r="C8" s="23">
        <v>138.939</v>
      </c>
      <c r="D8" s="23">
        <v>418.81</v>
      </c>
      <c r="E8" s="23">
        <v>234.268</v>
      </c>
      <c r="F8" s="29">
        <v>397.933</v>
      </c>
      <c r="G8" s="29">
        <v>173.28</v>
      </c>
      <c r="H8" s="29">
        <v>381.248</v>
      </c>
      <c r="I8" s="29">
        <v>160.978</v>
      </c>
      <c r="J8" s="23">
        <f t="shared" si="0"/>
        <v>0.7986319305008632</v>
      </c>
      <c r="K8" s="23">
        <f t="shared" si="1"/>
        <v>0.801817867036011</v>
      </c>
      <c r="L8" s="23">
        <f t="shared" si="2"/>
        <v>1.0985237955346652</v>
      </c>
      <c r="M8" s="23">
        <f t="shared" si="3"/>
        <v>1.4552796034240703</v>
      </c>
      <c r="N8" s="24">
        <f t="shared" si="4"/>
        <v>1.8971557260355283</v>
      </c>
      <c r="O8" s="24">
        <f t="shared" si="5"/>
        <v>2.2570974704600815</v>
      </c>
    </row>
    <row r="9" spans="1:15" ht="12.75">
      <c r="A9" s="12" t="s">
        <v>95</v>
      </c>
      <c r="B9" s="23">
        <v>38.111</v>
      </c>
      <c r="C9" s="29">
        <v>19.223</v>
      </c>
      <c r="D9" s="29">
        <v>56.076</v>
      </c>
      <c r="E9" s="29">
        <v>21.033</v>
      </c>
      <c r="F9" s="23">
        <v>42.948</v>
      </c>
      <c r="G9" s="28">
        <v>16.048</v>
      </c>
      <c r="H9" s="23">
        <v>43.136</v>
      </c>
      <c r="I9" s="25">
        <v>14.554</v>
      </c>
      <c r="J9" s="23">
        <f t="shared" si="0"/>
        <v>0.8873754307534693</v>
      </c>
      <c r="K9" s="23">
        <v>0</v>
      </c>
      <c r="L9" s="23">
        <f t="shared" si="2"/>
        <v>1.2999814540059347</v>
      </c>
      <c r="M9" s="23">
        <v>0</v>
      </c>
      <c r="N9" s="24">
        <f t="shared" si="4"/>
        <v>2.187356884759404</v>
      </c>
      <c r="O9" s="24">
        <f t="shared" si="5"/>
        <v>0</v>
      </c>
    </row>
    <row r="10" spans="1:15" ht="12.75">
      <c r="A10" s="12" t="s">
        <v>27</v>
      </c>
      <c r="B10" s="23">
        <v>17.978</v>
      </c>
      <c r="C10" s="23">
        <v>2.986</v>
      </c>
      <c r="D10" s="23">
        <v>29.177</v>
      </c>
      <c r="E10" s="23">
        <v>12.775</v>
      </c>
      <c r="F10" s="29">
        <v>25.322</v>
      </c>
      <c r="G10" s="29">
        <v>4.205</v>
      </c>
      <c r="H10" s="29">
        <v>29.742</v>
      </c>
      <c r="I10" s="29">
        <v>8.984</v>
      </c>
      <c r="J10" s="23">
        <f t="shared" si="0"/>
        <v>0.7099755153621358</v>
      </c>
      <c r="K10" s="23">
        <f t="shared" si="1"/>
        <v>0.7101070154577884</v>
      </c>
      <c r="L10" s="23">
        <f t="shared" si="2"/>
        <v>0.9810032950036984</v>
      </c>
      <c r="M10" s="23">
        <f t="shared" si="3"/>
        <v>1.421972395369546</v>
      </c>
      <c r="N10" s="24">
        <f t="shared" si="4"/>
        <v>1.6909788103658343</v>
      </c>
      <c r="O10" s="24">
        <f t="shared" si="5"/>
        <v>2.1320794108273344</v>
      </c>
    </row>
    <row r="11" spans="1:15" ht="12.75">
      <c r="A11" s="12" t="s">
        <v>29</v>
      </c>
      <c r="B11" s="23">
        <v>1149.364</v>
      </c>
      <c r="C11" s="23">
        <v>210.641</v>
      </c>
      <c r="D11" s="23">
        <v>1307.856</v>
      </c>
      <c r="E11" s="23">
        <v>229.619</v>
      </c>
      <c r="F11" s="23">
        <v>1875.429</v>
      </c>
      <c r="G11" s="23">
        <v>285.842</v>
      </c>
      <c r="H11" s="23">
        <v>1642.902</v>
      </c>
      <c r="I11" s="29">
        <v>269.41</v>
      </c>
      <c r="J11" s="23">
        <f t="shared" si="0"/>
        <v>0.6128539123581858</v>
      </c>
      <c r="K11" s="23">
        <f t="shared" si="1"/>
        <v>0.7369140993975692</v>
      </c>
      <c r="L11" s="23">
        <f t="shared" si="2"/>
        <v>0.7960645248468867</v>
      </c>
      <c r="M11" s="23">
        <f t="shared" si="3"/>
        <v>0.8523031810252032</v>
      </c>
      <c r="N11" s="24">
        <f t="shared" si="4"/>
        <v>1.4089184372050725</v>
      </c>
      <c r="O11" s="24">
        <f t="shared" si="5"/>
        <v>1.5892172804227724</v>
      </c>
    </row>
    <row r="12" spans="1:15" ht="12.75">
      <c r="A12" s="12" t="s">
        <v>26</v>
      </c>
      <c r="B12" s="23">
        <v>102.104</v>
      </c>
      <c r="C12" s="29">
        <v>32.59</v>
      </c>
      <c r="D12" s="23">
        <v>155.518</v>
      </c>
      <c r="E12" s="23">
        <v>78.743</v>
      </c>
      <c r="F12" s="23">
        <v>122.395</v>
      </c>
      <c r="G12" s="23">
        <v>38.862</v>
      </c>
      <c r="H12" s="23">
        <v>121.186</v>
      </c>
      <c r="I12" s="25">
        <v>46.274</v>
      </c>
      <c r="J12" s="23">
        <f t="shared" si="0"/>
        <v>0.8342170840312104</v>
      </c>
      <c r="K12" s="23">
        <f t="shared" si="1"/>
        <v>0.8386084092429623</v>
      </c>
      <c r="L12" s="23">
        <f t="shared" si="2"/>
        <v>1.283300051161025</v>
      </c>
      <c r="M12" s="23">
        <f t="shared" si="3"/>
        <v>1.7016683234645804</v>
      </c>
      <c r="N12" s="24">
        <f t="shared" si="4"/>
        <v>2.1175171351922355</v>
      </c>
      <c r="O12" s="24">
        <f t="shared" si="5"/>
        <v>2.5402767327075426</v>
      </c>
    </row>
    <row r="13" spans="1:15" ht="12.75">
      <c r="A13" s="12" t="s">
        <v>31</v>
      </c>
      <c r="B13" s="23">
        <v>52.638</v>
      </c>
      <c r="C13" s="23">
        <v>17.415</v>
      </c>
      <c r="D13" s="23">
        <v>107.986</v>
      </c>
      <c r="E13" s="23">
        <v>23.108</v>
      </c>
      <c r="F13" s="23">
        <v>75.198</v>
      </c>
      <c r="G13" s="29">
        <v>24.479</v>
      </c>
      <c r="H13" s="23">
        <v>73.46</v>
      </c>
      <c r="I13" s="25">
        <v>15.72</v>
      </c>
      <c r="J13" s="23">
        <f t="shared" si="0"/>
        <v>0.6999920210643901</v>
      </c>
      <c r="K13" s="23">
        <f t="shared" si="1"/>
        <v>0.7114261203480534</v>
      </c>
      <c r="L13" s="23">
        <f t="shared" si="2"/>
        <v>1.469997277429894</v>
      </c>
      <c r="M13" s="23">
        <f t="shared" si="3"/>
        <v>1.469974554707379</v>
      </c>
      <c r="N13" s="24">
        <f t="shared" si="4"/>
        <v>2.169989298494284</v>
      </c>
      <c r="O13" s="24">
        <f t="shared" si="5"/>
        <v>2.1814006750554324</v>
      </c>
    </row>
    <row r="14" spans="1:15" ht="12.75">
      <c r="A14" s="12" t="s">
        <v>41</v>
      </c>
      <c r="B14" s="23">
        <v>96.04</v>
      </c>
      <c r="C14" s="23">
        <v>47.841</v>
      </c>
      <c r="D14" s="23">
        <v>58.206</v>
      </c>
      <c r="E14" s="23">
        <v>43.007</v>
      </c>
      <c r="F14" s="29">
        <v>90.614</v>
      </c>
      <c r="G14" s="29">
        <v>42.446</v>
      </c>
      <c r="H14" s="29">
        <v>86.646</v>
      </c>
      <c r="I14" s="29">
        <v>33.721</v>
      </c>
      <c r="J14" s="23">
        <f t="shared" si="0"/>
        <v>1.0598803716864944</v>
      </c>
      <c r="K14" s="23">
        <f t="shared" si="1"/>
        <v>1.1271026716298356</v>
      </c>
      <c r="L14" s="23">
        <f t="shared" si="2"/>
        <v>0.671767883110588</v>
      </c>
      <c r="M14" s="23">
        <f t="shared" si="3"/>
        <v>1.275377361288218</v>
      </c>
      <c r="N14" s="24">
        <f t="shared" si="4"/>
        <v>1.7316482547970824</v>
      </c>
      <c r="O14" s="24">
        <f t="shared" si="5"/>
        <v>2.402480032918054</v>
      </c>
    </row>
    <row r="15" spans="1:15" ht="12.75">
      <c r="A15" s="12" t="s">
        <v>33</v>
      </c>
      <c r="B15" s="23">
        <v>222.544</v>
      </c>
      <c r="C15" s="23">
        <v>53.551</v>
      </c>
      <c r="D15" s="23">
        <v>247.88</v>
      </c>
      <c r="E15" s="23">
        <v>133.891</v>
      </c>
      <c r="F15" s="23">
        <v>276.25</v>
      </c>
      <c r="G15" s="29">
        <v>67.174</v>
      </c>
      <c r="H15" s="29">
        <v>269.394</v>
      </c>
      <c r="I15" s="29">
        <v>110.749</v>
      </c>
      <c r="J15" s="23">
        <f t="shared" si="0"/>
        <v>0.8055891402714932</v>
      </c>
      <c r="K15" s="23">
        <f t="shared" si="1"/>
        <v>0.7971983207788728</v>
      </c>
      <c r="L15" s="23">
        <f t="shared" si="2"/>
        <v>0.920139275559218</v>
      </c>
      <c r="M15" s="23">
        <f t="shared" si="3"/>
        <v>1.2089589973724368</v>
      </c>
      <c r="N15" s="24">
        <f t="shared" si="4"/>
        <v>1.7257284158307113</v>
      </c>
      <c r="O15" s="24">
        <f t="shared" si="5"/>
        <v>2.0061573181513097</v>
      </c>
    </row>
    <row r="16" spans="1:15" ht="12.75">
      <c r="A16" s="12" t="s">
        <v>112</v>
      </c>
      <c r="B16" s="23">
        <v>106.22</v>
      </c>
      <c r="C16" s="23">
        <v>21.274</v>
      </c>
      <c r="D16" s="23">
        <v>147.205</v>
      </c>
      <c r="E16" s="23">
        <v>22.553</v>
      </c>
      <c r="F16" s="23">
        <v>93.175</v>
      </c>
      <c r="G16" s="29">
        <v>12.663</v>
      </c>
      <c r="H16" s="29">
        <v>87.622</v>
      </c>
      <c r="I16" s="29">
        <v>8.322</v>
      </c>
      <c r="J16" s="23">
        <f t="shared" si="0"/>
        <v>1.1400053662463108</v>
      </c>
      <c r="K16" s="23">
        <f t="shared" si="1"/>
        <v>1.680012635236516</v>
      </c>
      <c r="L16" s="23">
        <f t="shared" si="2"/>
        <v>1.680000456506357</v>
      </c>
      <c r="M16" s="23">
        <f t="shared" si="3"/>
        <v>2.710045662100457</v>
      </c>
      <c r="N16" s="24">
        <f t="shared" si="4"/>
        <v>2.820005822752668</v>
      </c>
      <c r="O16" s="24">
        <f t="shared" si="5"/>
        <v>4.390058297336973</v>
      </c>
    </row>
    <row r="17" spans="1:15" ht="12.75">
      <c r="A17" s="12" t="s">
        <v>34</v>
      </c>
      <c r="B17" s="23">
        <v>82.157</v>
      </c>
      <c r="C17" s="23">
        <v>21.742</v>
      </c>
      <c r="D17" s="23">
        <v>133.544</v>
      </c>
      <c r="E17" s="23">
        <v>21.346</v>
      </c>
      <c r="F17" s="29">
        <v>174.851</v>
      </c>
      <c r="G17" s="29">
        <v>63.417</v>
      </c>
      <c r="H17" s="29">
        <v>134.2</v>
      </c>
      <c r="I17" s="29">
        <v>39.996</v>
      </c>
      <c r="J17" s="23">
        <f t="shared" si="0"/>
        <v>0.4698686310058278</v>
      </c>
      <c r="K17" s="23">
        <f t="shared" si="1"/>
        <v>0.3428418247473075</v>
      </c>
      <c r="L17" s="23">
        <f t="shared" si="2"/>
        <v>0.9951117734724294</v>
      </c>
      <c r="M17" s="23">
        <f t="shared" si="3"/>
        <v>0.5337033703370336</v>
      </c>
      <c r="N17" s="24">
        <f t="shared" si="4"/>
        <v>1.4649804044782573</v>
      </c>
      <c r="O17" s="24">
        <f t="shared" si="5"/>
        <v>0.8765451950843411</v>
      </c>
    </row>
    <row r="18" spans="1:15" ht="12.75">
      <c r="A18" s="12" t="s">
        <v>35</v>
      </c>
      <c r="B18" s="23">
        <v>74.804</v>
      </c>
      <c r="C18" s="23">
        <v>62.889</v>
      </c>
      <c r="D18" s="23">
        <v>104.287</v>
      </c>
      <c r="E18" s="23">
        <v>128.479</v>
      </c>
      <c r="F18" s="23">
        <v>84.883</v>
      </c>
      <c r="G18" s="23">
        <v>60.143</v>
      </c>
      <c r="H18" s="23">
        <v>63.023</v>
      </c>
      <c r="I18" s="25">
        <v>59.375</v>
      </c>
      <c r="J18" s="23">
        <f t="shared" si="0"/>
        <v>0.8812600874144412</v>
      </c>
      <c r="K18" s="23">
        <f t="shared" si="1"/>
        <v>1.0456578487937083</v>
      </c>
      <c r="L18" s="23">
        <f t="shared" si="2"/>
        <v>1.6547450930612633</v>
      </c>
      <c r="M18" s="23">
        <f t="shared" si="3"/>
        <v>2.1638568421052633</v>
      </c>
      <c r="N18" s="24">
        <f t="shared" si="4"/>
        <v>2.5360051804757044</v>
      </c>
      <c r="O18" s="24">
        <f t="shared" si="5"/>
        <v>3.2095146908989713</v>
      </c>
    </row>
    <row r="19" spans="1:17" ht="12.75">
      <c r="A19" s="12" t="s">
        <v>37</v>
      </c>
      <c r="B19" s="23">
        <v>22.812</v>
      </c>
      <c r="C19" s="23">
        <v>98.916</v>
      </c>
      <c r="D19" s="23">
        <v>38.651</v>
      </c>
      <c r="E19" s="23">
        <v>195.798</v>
      </c>
      <c r="F19" s="23">
        <v>22.812</v>
      </c>
      <c r="G19" s="23">
        <v>98.947</v>
      </c>
      <c r="H19" s="23">
        <v>18.582</v>
      </c>
      <c r="I19" s="25">
        <v>94.252</v>
      </c>
      <c r="J19" s="23">
        <f t="shared" si="0"/>
        <v>1</v>
      </c>
      <c r="K19" s="23">
        <f t="shared" si="1"/>
        <v>0.9996867009611206</v>
      </c>
      <c r="L19" s="23">
        <f t="shared" si="2"/>
        <v>2.0800236788289745</v>
      </c>
      <c r="M19" s="23">
        <f t="shared" si="3"/>
        <v>2.0773882782328226</v>
      </c>
      <c r="N19" s="24">
        <f t="shared" si="4"/>
        <v>3.0800236788289745</v>
      </c>
      <c r="O19" s="24">
        <f t="shared" si="5"/>
        <v>3.0770749791939433</v>
      </c>
      <c r="Q19" s="6" t="s">
        <v>90</v>
      </c>
    </row>
    <row r="20" spans="1:15" s="163" customFormat="1" ht="12.75">
      <c r="A20" s="12" t="s">
        <v>154</v>
      </c>
      <c r="B20" s="23" t="s">
        <v>192</v>
      </c>
      <c r="C20" s="161"/>
      <c r="D20" s="161"/>
      <c r="E20" s="161"/>
      <c r="F20" s="161"/>
      <c r="G20" s="161"/>
      <c r="H20" s="161"/>
      <c r="I20" s="164"/>
      <c r="J20" s="161"/>
      <c r="K20" s="161"/>
      <c r="L20" s="161"/>
      <c r="M20" s="161"/>
      <c r="N20" s="162"/>
      <c r="O20" s="162"/>
    </row>
    <row r="21" spans="1:15" ht="12.75">
      <c r="A21" s="21" t="s">
        <v>39</v>
      </c>
      <c r="B21" s="23">
        <v>329.957</v>
      </c>
      <c r="C21" s="23">
        <v>252.655</v>
      </c>
      <c r="D21" s="23">
        <v>529.305</v>
      </c>
      <c r="E21" s="23">
        <v>590.671</v>
      </c>
      <c r="F21" s="23">
        <v>422.295</v>
      </c>
      <c r="G21" s="23">
        <v>290.297</v>
      </c>
      <c r="H21" s="23">
        <v>422.44</v>
      </c>
      <c r="I21" s="25">
        <v>381.943</v>
      </c>
      <c r="J21" s="23">
        <f t="shared" si="0"/>
        <v>0.7813424265028002</v>
      </c>
      <c r="K21" s="23">
        <f t="shared" si="1"/>
        <v>0.8703327971009001</v>
      </c>
      <c r="L21" s="23">
        <f t="shared" si="2"/>
        <v>1.2529708360950667</v>
      </c>
      <c r="M21" s="23">
        <f t="shared" si="3"/>
        <v>1.5464899212709753</v>
      </c>
      <c r="N21" s="24">
        <f t="shared" si="4"/>
        <v>2.034313262597867</v>
      </c>
      <c r="O21" s="24">
        <f t="shared" si="5"/>
        <v>2.4168227183718756</v>
      </c>
    </row>
    <row r="22" spans="1:15" ht="12.75">
      <c r="A22" s="12" t="s">
        <v>42</v>
      </c>
      <c r="B22" s="23">
        <v>43.244</v>
      </c>
      <c r="C22" s="23">
        <v>22.773</v>
      </c>
      <c r="D22" s="23">
        <v>54.571</v>
      </c>
      <c r="E22" s="23">
        <v>9.088</v>
      </c>
      <c r="F22" s="23">
        <v>27.31</v>
      </c>
      <c r="G22" s="23">
        <v>16.998</v>
      </c>
      <c r="H22" s="23">
        <v>24.487</v>
      </c>
      <c r="I22" s="25">
        <v>3.704</v>
      </c>
      <c r="J22" s="23">
        <f t="shared" si="0"/>
        <v>1.5834492859758331</v>
      </c>
      <c r="K22" s="23">
        <f t="shared" si="1"/>
        <v>1.3397458524532297</v>
      </c>
      <c r="L22" s="23">
        <f t="shared" si="2"/>
        <v>2.2285702617715524</v>
      </c>
      <c r="M22" s="23">
        <f t="shared" si="3"/>
        <v>2.4535637149028076</v>
      </c>
      <c r="N22" s="24">
        <f t="shared" si="4"/>
        <v>3.8120195477473855</v>
      </c>
      <c r="O22" s="24">
        <f t="shared" si="5"/>
        <v>3.7933095673560375</v>
      </c>
    </row>
    <row r="23" spans="1:15" ht="12.75">
      <c r="A23" s="168" t="s">
        <v>43</v>
      </c>
      <c r="B23" s="224">
        <v>175.8</v>
      </c>
      <c r="C23" s="224">
        <v>63</v>
      </c>
      <c r="D23" s="224">
        <v>182</v>
      </c>
      <c r="E23" s="225">
        <v>74.377</v>
      </c>
      <c r="F23" s="224">
        <v>187</v>
      </c>
      <c r="G23" s="224">
        <v>67</v>
      </c>
      <c r="H23" s="224">
        <v>161.1</v>
      </c>
      <c r="I23" s="226">
        <v>65.82</v>
      </c>
      <c r="J23" s="135">
        <f t="shared" si="0"/>
        <v>0.9401069518716578</v>
      </c>
      <c r="K23" s="135">
        <f t="shared" si="1"/>
        <v>0.9402985074626866</v>
      </c>
      <c r="L23" s="135">
        <f t="shared" si="2"/>
        <v>1.1297330850403478</v>
      </c>
      <c r="M23" s="135">
        <f t="shared" si="3"/>
        <v>1.1300060771801885</v>
      </c>
      <c r="N23" s="140">
        <f t="shared" si="4"/>
        <v>2.0698400369120056</v>
      </c>
      <c r="O23" s="140">
        <f t="shared" si="5"/>
        <v>2.070304584642875</v>
      </c>
    </row>
    <row r="24" spans="1:15" s="171" customFormat="1" ht="12.75">
      <c r="A24" s="12" t="s">
        <v>45</v>
      </c>
      <c r="B24" s="137">
        <v>210.984</v>
      </c>
      <c r="C24" s="137">
        <v>104.431</v>
      </c>
      <c r="D24" s="137">
        <v>326.291</v>
      </c>
      <c r="E24" s="137">
        <v>221.229</v>
      </c>
      <c r="F24" s="137">
        <v>277.011</v>
      </c>
      <c r="G24" s="137">
        <v>137.324</v>
      </c>
      <c r="H24" s="137">
        <v>269.091</v>
      </c>
      <c r="I24" s="169">
        <v>130.633</v>
      </c>
      <c r="J24" s="137">
        <f t="shared" si="0"/>
        <v>0.7616448444285606</v>
      </c>
      <c r="K24" s="137">
        <f t="shared" si="1"/>
        <v>0.7604715854475546</v>
      </c>
      <c r="L24" s="137">
        <f t="shared" si="2"/>
        <v>1.2125674957542243</v>
      </c>
      <c r="M24" s="137">
        <f t="shared" si="3"/>
        <v>1.6935154210651213</v>
      </c>
      <c r="N24" s="170">
        <f t="shared" si="4"/>
        <v>1.974212340182785</v>
      </c>
      <c r="O24" s="170">
        <f t="shared" si="5"/>
        <v>2.453987006512676</v>
      </c>
    </row>
    <row r="25" spans="1:15" ht="12.75">
      <c r="A25" s="165" t="s">
        <v>89</v>
      </c>
      <c r="B25" s="139">
        <v>118.262</v>
      </c>
      <c r="C25" s="139">
        <v>84.055</v>
      </c>
      <c r="D25" s="139">
        <v>112.553</v>
      </c>
      <c r="E25" s="139">
        <v>59.633</v>
      </c>
      <c r="F25" s="139">
        <v>132.448</v>
      </c>
      <c r="G25" s="139">
        <v>65.668</v>
      </c>
      <c r="H25" s="139">
        <v>126.464</v>
      </c>
      <c r="I25" s="166">
        <v>43.578</v>
      </c>
      <c r="J25" s="139">
        <f t="shared" si="0"/>
        <v>0.8928938149311427</v>
      </c>
      <c r="K25" s="139">
        <f t="shared" si="1"/>
        <v>1.2799993908753122</v>
      </c>
      <c r="L25" s="139">
        <f t="shared" si="2"/>
        <v>0.8900003162955465</v>
      </c>
      <c r="M25" s="139">
        <f t="shared" si="3"/>
        <v>1.3684198448758547</v>
      </c>
      <c r="N25" s="167">
        <f t="shared" si="4"/>
        <v>1.7828941312266893</v>
      </c>
      <c r="O25" s="167">
        <f t="shared" si="5"/>
        <v>2.6484192357511667</v>
      </c>
    </row>
    <row r="26" spans="1:15" ht="12.75">
      <c r="A26" s="12" t="s">
        <v>49</v>
      </c>
      <c r="B26" s="23">
        <v>882.101</v>
      </c>
      <c r="C26" s="23">
        <v>659.66</v>
      </c>
      <c r="D26" s="23">
        <v>1346.908</v>
      </c>
      <c r="E26" s="23">
        <v>1148.2</v>
      </c>
      <c r="F26" s="23">
        <v>1208.13</v>
      </c>
      <c r="G26" s="23">
        <v>984.14</v>
      </c>
      <c r="H26" s="23">
        <v>1184.4</v>
      </c>
      <c r="I26" s="25">
        <v>1035.3</v>
      </c>
      <c r="J26" s="23">
        <f t="shared" si="0"/>
        <v>0.7301374852044067</v>
      </c>
      <c r="K26" s="23">
        <f t="shared" si="1"/>
        <v>0.6702908122828053</v>
      </c>
      <c r="L26" s="23">
        <f t="shared" si="2"/>
        <v>1.137207024653833</v>
      </c>
      <c r="M26" s="23">
        <f t="shared" si="3"/>
        <v>1.1090505167584277</v>
      </c>
      <c r="N26" s="24">
        <f t="shared" si="4"/>
        <v>1.8673445098582397</v>
      </c>
      <c r="O26" s="24">
        <f t="shared" si="5"/>
        <v>1.779341329041233</v>
      </c>
    </row>
    <row r="27" spans="1:17" ht="12.75">
      <c r="A27" s="12" t="s">
        <v>44</v>
      </c>
      <c r="B27" s="23">
        <v>63.513</v>
      </c>
      <c r="C27" s="23">
        <v>22.685</v>
      </c>
      <c r="D27" s="23">
        <v>97.491</v>
      </c>
      <c r="E27" s="23">
        <v>344.848</v>
      </c>
      <c r="F27" s="23">
        <v>71.959</v>
      </c>
      <c r="G27" s="29">
        <v>23.073</v>
      </c>
      <c r="H27" s="23">
        <v>85.322</v>
      </c>
      <c r="I27" s="29">
        <v>237.595</v>
      </c>
      <c r="J27" s="23">
        <f t="shared" si="0"/>
        <v>0.8826276073875401</v>
      </c>
      <c r="K27" s="23">
        <f t="shared" si="1"/>
        <v>0.9831838079140119</v>
      </c>
      <c r="L27" s="23">
        <f t="shared" si="2"/>
        <v>1.1426244110545931</v>
      </c>
      <c r="M27" s="23">
        <f t="shared" si="3"/>
        <v>1.451411014541552</v>
      </c>
      <c r="N27" s="24">
        <f t="shared" si="4"/>
        <v>2.025252018442133</v>
      </c>
      <c r="O27" s="24">
        <f t="shared" si="5"/>
        <v>2.434594822455564</v>
      </c>
      <c r="Q27" s="6" t="s">
        <v>90</v>
      </c>
    </row>
    <row r="28" spans="1:16" ht="12.75">
      <c r="A28" s="12" t="s">
        <v>48</v>
      </c>
      <c r="B28" s="23">
        <v>99.553</v>
      </c>
      <c r="C28" s="23">
        <v>52.629</v>
      </c>
      <c r="D28" s="23">
        <v>172.293</v>
      </c>
      <c r="E28" s="23">
        <v>310.458</v>
      </c>
      <c r="F28" s="23">
        <v>171.991</v>
      </c>
      <c r="G28" s="23">
        <v>61.242</v>
      </c>
      <c r="H28" s="23">
        <v>163.413</v>
      </c>
      <c r="I28" s="29">
        <v>282.391</v>
      </c>
      <c r="J28" s="23">
        <f t="shared" si="0"/>
        <v>0.5788267990766958</v>
      </c>
      <c r="K28" s="23">
        <f t="shared" si="1"/>
        <v>0.8593612226903106</v>
      </c>
      <c r="L28" s="23">
        <f t="shared" si="2"/>
        <v>1.0543408419158817</v>
      </c>
      <c r="M28" s="23">
        <f t="shared" si="3"/>
        <v>1.099390561313923</v>
      </c>
      <c r="N28" s="24">
        <f t="shared" si="4"/>
        <v>1.6331676409925775</v>
      </c>
      <c r="O28" s="24">
        <f t="shared" si="5"/>
        <v>1.9587517840042334</v>
      </c>
      <c r="P28" s="6" t="s">
        <v>90</v>
      </c>
    </row>
    <row r="29" spans="1:15" ht="12.75">
      <c r="A29" s="21" t="s">
        <v>50</v>
      </c>
      <c r="B29" s="23">
        <v>302.715</v>
      </c>
      <c r="C29" s="23">
        <v>120.171</v>
      </c>
      <c r="D29" s="23">
        <v>252.062</v>
      </c>
      <c r="E29" s="23">
        <v>462.098</v>
      </c>
      <c r="F29" s="23">
        <v>416.961</v>
      </c>
      <c r="G29" s="23">
        <v>161.955</v>
      </c>
      <c r="H29" s="23">
        <v>414.576</v>
      </c>
      <c r="I29" s="29">
        <v>746.644</v>
      </c>
      <c r="J29" s="23">
        <f t="shared" si="0"/>
        <v>0.7260031513738694</v>
      </c>
      <c r="K29" s="23">
        <f t="shared" si="1"/>
        <v>0.7420024080763175</v>
      </c>
      <c r="L29" s="23">
        <f t="shared" si="2"/>
        <v>0.6079994982825827</v>
      </c>
      <c r="M29" s="23">
        <f t="shared" si="3"/>
        <v>0.618900038036869</v>
      </c>
      <c r="N29" s="24">
        <f t="shared" si="4"/>
        <v>1.334002649656452</v>
      </c>
      <c r="O29" s="24">
        <f t="shared" si="5"/>
        <v>1.3609024461131864</v>
      </c>
    </row>
    <row r="30" spans="1:15" ht="12.75">
      <c r="A30" s="12" t="s">
        <v>52</v>
      </c>
      <c r="B30" s="23">
        <v>124.215</v>
      </c>
      <c r="C30" s="23">
        <v>62.771</v>
      </c>
      <c r="D30" s="23">
        <v>147.145</v>
      </c>
      <c r="E30" s="23">
        <v>113.539</v>
      </c>
      <c r="F30" s="23">
        <v>170.998</v>
      </c>
      <c r="G30" s="23">
        <v>87.695</v>
      </c>
      <c r="H30" s="23">
        <v>161.086</v>
      </c>
      <c r="I30" s="25">
        <v>121.297</v>
      </c>
      <c r="J30" s="23">
        <f t="shared" si="0"/>
        <v>0.7264120048187699</v>
      </c>
      <c r="K30" s="23">
        <f t="shared" si="1"/>
        <v>0.7157876731854724</v>
      </c>
      <c r="L30" s="23">
        <f t="shared" si="2"/>
        <v>0.9134561662714327</v>
      </c>
      <c r="M30" s="23">
        <f t="shared" si="3"/>
        <v>0.9360412870887161</v>
      </c>
      <c r="N30" s="24">
        <f t="shared" si="4"/>
        <v>1.6398681710902026</v>
      </c>
      <c r="O30" s="24">
        <f t="shared" si="5"/>
        <v>1.6518289602741887</v>
      </c>
    </row>
    <row r="31" spans="1:15" s="172" customFormat="1" ht="12">
      <c r="A31" s="12" t="s">
        <v>56</v>
      </c>
      <c r="B31" s="23">
        <v>86.335</v>
      </c>
      <c r="C31" s="23">
        <v>86.731</v>
      </c>
      <c r="D31" s="23">
        <v>73.026</v>
      </c>
      <c r="E31" s="23">
        <v>37.2037</v>
      </c>
      <c r="F31" s="23">
        <v>125.295</v>
      </c>
      <c r="G31" s="23">
        <v>84.127</v>
      </c>
      <c r="H31" s="23">
        <v>89.656</v>
      </c>
      <c r="I31" s="25">
        <v>210.789</v>
      </c>
      <c r="J31" s="23">
        <f t="shared" si="0"/>
        <v>0.689053832954228</v>
      </c>
      <c r="K31" s="23">
        <f t="shared" si="1"/>
        <v>1.0309532017069432</v>
      </c>
      <c r="L31" s="23">
        <f t="shared" si="2"/>
        <v>0.814513250646917</v>
      </c>
      <c r="M31" s="23">
        <f t="shared" si="3"/>
        <v>0.17649735043099973</v>
      </c>
      <c r="N31" s="24">
        <f t="shared" si="4"/>
        <v>1.503567083601145</v>
      </c>
      <c r="O31" s="24">
        <f t="shared" si="5"/>
        <v>1.2074505521379428</v>
      </c>
    </row>
    <row r="32" spans="1:15" s="172" customFormat="1" ht="12">
      <c r="A32" s="12" t="s">
        <v>53</v>
      </c>
      <c r="B32" s="23">
        <v>432.085</v>
      </c>
      <c r="C32" s="23">
        <v>57.073</v>
      </c>
      <c r="D32" s="23">
        <v>330.755</v>
      </c>
      <c r="E32" s="23">
        <v>163.068</v>
      </c>
      <c r="F32" s="23">
        <v>567.78</v>
      </c>
      <c r="G32" s="23">
        <v>64.127</v>
      </c>
      <c r="H32" s="23">
        <v>567.23</v>
      </c>
      <c r="I32" s="25">
        <v>192.562</v>
      </c>
      <c r="J32" s="23">
        <f t="shared" si="0"/>
        <v>0.7610077847053436</v>
      </c>
      <c r="K32" s="23">
        <f t="shared" si="1"/>
        <v>0.8899995321783337</v>
      </c>
      <c r="L32" s="23">
        <f t="shared" si="2"/>
        <v>0.583105618532165</v>
      </c>
      <c r="M32" s="23">
        <f t="shared" si="3"/>
        <v>0.8468337470528973</v>
      </c>
      <c r="N32" s="24">
        <f t="shared" si="4"/>
        <v>1.3441134032375086</v>
      </c>
      <c r="O32" s="24">
        <f t="shared" si="5"/>
        <v>1.7368332792312309</v>
      </c>
    </row>
    <row r="33" spans="1:15" s="172" customFormat="1" ht="12">
      <c r="A33" s="12" t="s">
        <v>91</v>
      </c>
      <c r="B33" s="23">
        <v>161.314</v>
      </c>
      <c r="C33" s="23">
        <v>65.123</v>
      </c>
      <c r="D33" s="23">
        <v>229.758</v>
      </c>
      <c r="E33" s="23">
        <v>93.91</v>
      </c>
      <c r="F33" s="23">
        <v>177.803</v>
      </c>
      <c r="G33" s="23">
        <v>42.071</v>
      </c>
      <c r="H33" s="23">
        <v>168.685</v>
      </c>
      <c r="I33" s="25">
        <v>40.561</v>
      </c>
      <c r="J33" s="23">
        <f t="shared" si="0"/>
        <v>0.9072625321282543</v>
      </c>
      <c r="K33" s="23">
        <f t="shared" si="1"/>
        <v>1.5479308787525852</v>
      </c>
      <c r="L33" s="23">
        <f t="shared" si="2"/>
        <v>1.3620535317307407</v>
      </c>
      <c r="M33" s="23">
        <f t="shared" si="3"/>
        <v>2.315278222923498</v>
      </c>
      <c r="N33" s="24">
        <f t="shared" si="4"/>
        <v>2.269316063858995</v>
      </c>
      <c r="O33" s="24">
        <f t="shared" si="5"/>
        <v>3.863209101676083</v>
      </c>
    </row>
    <row r="34" spans="1:15" s="172" customFormat="1" ht="12">
      <c r="A34" s="12" t="s">
        <v>57</v>
      </c>
      <c r="B34" s="23">
        <v>13.095</v>
      </c>
      <c r="C34" s="23">
        <v>11.276</v>
      </c>
      <c r="D34" s="23">
        <v>10.693</v>
      </c>
      <c r="E34" s="23">
        <v>15.93</v>
      </c>
      <c r="F34" s="23">
        <v>13.784</v>
      </c>
      <c r="G34" s="23">
        <v>5.312</v>
      </c>
      <c r="H34" s="23">
        <v>13.71</v>
      </c>
      <c r="I34" s="29">
        <v>11.263</v>
      </c>
      <c r="J34" s="23">
        <f t="shared" si="0"/>
        <v>0.9500145095763204</v>
      </c>
      <c r="K34" s="23">
        <f t="shared" si="1"/>
        <v>2.1227409638554215</v>
      </c>
      <c r="L34" s="23">
        <f t="shared" si="2"/>
        <v>0.7799416484318016</v>
      </c>
      <c r="M34" s="23">
        <f t="shared" si="3"/>
        <v>1.4143656219479712</v>
      </c>
      <c r="N34" s="24">
        <f t="shared" si="4"/>
        <v>1.729956158008122</v>
      </c>
      <c r="O34" s="24">
        <f t="shared" si="5"/>
        <v>3.537106585803393</v>
      </c>
    </row>
    <row r="35" spans="1:15" s="172" customFormat="1" ht="12">
      <c r="A35" s="12" t="s">
        <v>155</v>
      </c>
      <c r="B35" s="23">
        <v>124.485</v>
      </c>
      <c r="C35" s="23">
        <v>90.389</v>
      </c>
      <c r="D35" s="23">
        <v>130.263</v>
      </c>
      <c r="E35" s="23">
        <v>112.655</v>
      </c>
      <c r="F35" s="135">
        <v>139.558</v>
      </c>
      <c r="G35" s="135">
        <v>96.085</v>
      </c>
      <c r="H35" s="135">
        <v>115.786</v>
      </c>
      <c r="I35" s="136">
        <v>85.021</v>
      </c>
      <c r="J35" s="135">
        <f t="shared" si="0"/>
        <v>0.891994726207025</v>
      </c>
      <c r="K35" s="23">
        <f t="shared" si="1"/>
        <v>0.9407191549149191</v>
      </c>
      <c r="L35" s="23">
        <f t="shared" si="2"/>
        <v>1.1250323873352563</v>
      </c>
      <c r="M35" s="23">
        <f t="shared" si="3"/>
        <v>1.3250255819150563</v>
      </c>
      <c r="N35" s="24">
        <f t="shared" si="4"/>
        <v>2.0170271135422815</v>
      </c>
      <c r="O35" s="24">
        <f t="shared" si="5"/>
        <v>2.2657447368299755</v>
      </c>
    </row>
    <row r="36" spans="1:15" s="172" customFormat="1" ht="12">
      <c r="A36" s="12" t="s">
        <v>60</v>
      </c>
      <c r="B36" s="23">
        <v>1688.965</v>
      </c>
      <c r="C36" s="23">
        <v>818.143</v>
      </c>
      <c r="D36" s="23">
        <v>2880.851</v>
      </c>
      <c r="E36" s="25">
        <v>2445.168</v>
      </c>
      <c r="F36" s="137">
        <v>2876.321</v>
      </c>
      <c r="G36" s="137">
        <v>1409.825</v>
      </c>
      <c r="H36" s="137">
        <v>2880.639</v>
      </c>
      <c r="I36" s="137">
        <v>1846.094</v>
      </c>
      <c r="J36" s="137">
        <f t="shared" si="0"/>
        <v>0.5871962830296062</v>
      </c>
      <c r="K36" s="138">
        <f t="shared" si="1"/>
        <v>0.5803152873583601</v>
      </c>
      <c r="L36" s="23">
        <f t="shared" si="2"/>
        <v>1.0000735947822688</v>
      </c>
      <c r="M36" s="23">
        <f t="shared" si="3"/>
        <v>1.3245089361646807</v>
      </c>
      <c r="N36" s="24">
        <f t="shared" si="4"/>
        <v>1.587269877811875</v>
      </c>
      <c r="O36" s="24">
        <f t="shared" si="5"/>
        <v>1.9048242235230408</v>
      </c>
    </row>
    <row r="37" spans="1:15" s="172" customFormat="1" ht="12">
      <c r="A37" s="12" t="s">
        <v>156</v>
      </c>
      <c r="B37" s="23">
        <v>28.829</v>
      </c>
      <c r="C37" s="23">
        <v>7.369</v>
      </c>
      <c r="D37" s="23">
        <v>52.569</v>
      </c>
      <c r="E37" s="25">
        <v>14.654</v>
      </c>
      <c r="F37" s="137">
        <v>40.951</v>
      </c>
      <c r="G37" s="137">
        <v>10.467</v>
      </c>
      <c r="H37" s="137">
        <v>38.825</v>
      </c>
      <c r="I37" s="137">
        <v>10.823</v>
      </c>
      <c r="J37" s="137">
        <f t="shared" si="0"/>
        <v>0.7039876926082391</v>
      </c>
      <c r="K37" s="138">
        <f t="shared" si="1"/>
        <v>0.704022164899207</v>
      </c>
      <c r="L37" s="23">
        <f t="shared" si="2"/>
        <v>1.3539987121699935</v>
      </c>
      <c r="M37" s="23">
        <f t="shared" si="3"/>
        <v>1.3539684006282915</v>
      </c>
      <c r="N37" s="24">
        <f t="shared" si="4"/>
        <v>2.057986404778233</v>
      </c>
      <c r="O37" s="24">
        <f t="shared" si="5"/>
        <v>2.0579905655274984</v>
      </c>
    </row>
    <row r="38" spans="1:15" s="172" customFormat="1" ht="12">
      <c r="A38" s="12" t="s">
        <v>63</v>
      </c>
      <c r="B38" s="23">
        <v>103.948</v>
      </c>
      <c r="C38" s="23">
        <v>41.056</v>
      </c>
      <c r="D38" s="23">
        <v>153.52</v>
      </c>
      <c r="E38" s="25">
        <v>83.699</v>
      </c>
      <c r="F38" s="137">
        <v>146.027</v>
      </c>
      <c r="G38" s="137">
        <v>46.947</v>
      </c>
      <c r="H38" s="137">
        <v>158.198</v>
      </c>
      <c r="I38" s="137">
        <v>76.607</v>
      </c>
      <c r="J38" s="137">
        <f t="shared" si="0"/>
        <v>0.7118409609181864</v>
      </c>
      <c r="K38" s="138">
        <f t="shared" si="1"/>
        <v>0.8745180735723261</v>
      </c>
      <c r="L38" s="23">
        <f t="shared" si="2"/>
        <v>0.9704294618136765</v>
      </c>
      <c r="M38" s="23">
        <f t="shared" si="3"/>
        <v>1.0925763964128605</v>
      </c>
      <c r="N38" s="24">
        <f t="shared" si="4"/>
        <v>1.6822704227318628</v>
      </c>
      <c r="O38" s="24">
        <f t="shared" si="5"/>
        <v>1.9670944699851867</v>
      </c>
    </row>
    <row r="39" spans="1:15" s="172" customFormat="1" ht="12">
      <c r="A39" s="12" t="s">
        <v>64</v>
      </c>
      <c r="B39" s="135">
        <v>252</v>
      </c>
      <c r="C39" s="135">
        <v>77</v>
      </c>
      <c r="D39" s="135">
        <v>289</v>
      </c>
      <c r="E39" s="136">
        <v>122</v>
      </c>
      <c r="F39" s="137">
        <v>249</v>
      </c>
      <c r="G39" s="137">
        <v>77</v>
      </c>
      <c r="H39" s="137">
        <v>245</v>
      </c>
      <c r="I39" s="217">
        <v>104</v>
      </c>
      <c r="J39" s="139">
        <f t="shared" si="0"/>
        <v>1.0120481927710843</v>
      </c>
      <c r="K39" s="23">
        <f t="shared" si="1"/>
        <v>1</v>
      </c>
      <c r="L39" s="23">
        <f t="shared" si="2"/>
        <v>1.1795918367346938</v>
      </c>
      <c r="M39" s="23">
        <f t="shared" si="3"/>
        <v>1.1730769230769231</v>
      </c>
      <c r="N39" s="24">
        <f t="shared" si="4"/>
        <v>2.191640029505778</v>
      </c>
      <c r="O39" s="24">
        <f t="shared" si="5"/>
        <v>2.1730769230769234</v>
      </c>
    </row>
    <row r="40" spans="1:15" s="172" customFormat="1" ht="12">
      <c r="A40" s="12" t="s">
        <v>181</v>
      </c>
      <c r="B40" s="135">
        <v>36.708</v>
      </c>
      <c r="C40" s="135">
        <v>6.559</v>
      </c>
      <c r="D40" s="135">
        <v>79.623</v>
      </c>
      <c r="E40" s="136">
        <v>14.283</v>
      </c>
      <c r="F40" s="137">
        <v>41.747</v>
      </c>
      <c r="G40" s="137">
        <v>7.459</v>
      </c>
      <c r="H40" s="137">
        <v>41.581</v>
      </c>
      <c r="I40" s="218">
        <v>7.459</v>
      </c>
      <c r="J40" s="139">
        <f t="shared" si="0"/>
        <v>0.8792967159316837</v>
      </c>
      <c r="K40" s="23">
        <f t="shared" si="1"/>
        <v>0.8793403941547125</v>
      </c>
      <c r="L40" s="23">
        <f t="shared" si="2"/>
        <v>1.9148890118082778</v>
      </c>
      <c r="M40" s="23">
        <f t="shared" si="3"/>
        <v>1.914867944764714</v>
      </c>
      <c r="N40" s="24">
        <f t="shared" si="4"/>
        <v>2.7941857277399613</v>
      </c>
      <c r="O40" s="24">
        <f t="shared" si="5"/>
        <v>2.7942083389194265</v>
      </c>
    </row>
    <row r="41" spans="1:15" s="172" customFormat="1" ht="12">
      <c r="A41" s="12" t="s">
        <v>68</v>
      </c>
      <c r="B41" s="135">
        <v>37.754</v>
      </c>
      <c r="C41" s="135">
        <v>11.7</v>
      </c>
      <c r="D41" s="135">
        <v>45.565</v>
      </c>
      <c r="E41" s="135">
        <v>21.495</v>
      </c>
      <c r="F41" s="28">
        <v>48.838</v>
      </c>
      <c r="G41" s="166">
        <v>15.134</v>
      </c>
      <c r="H41" s="28">
        <v>47.862</v>
      </c>
      <c r="I41" s="135">
        <v>21.908</v>
      </c>
      <c r="J41" s="23">
        <f t="shared" si="0"/>
        <v>0.77304557926205</v>
      </c>
      <c r="K41" s="23">
        <f t="shared" si="1"/>
        <v>0.7730936963129377</v>
      </c>
      <c r="L41" s="23">
        <f t="shared" si="2"/>
        <v>0.9520078559191006</v>
      </c>
      <c r="M41" s="23">
        <f t="shared" si="3"/>
        <v>0.9811484389264196</v>
      </c>
      <c r="N41" s="24">
        <f t="shared" si="4"/>
        <v>1.7250534351811506</v>
      </c>
      <c r="O41" s="24">
        <f t="shared" si="5"/>
        <v>1.7542421352393571</v>
      </c>
    </row>
    <row r="42" spans="1:15" s="172" customFormat="1" ht="12">
      <c r="A42" s="12" t="s">
        <v>111</v>
      </c>
      <c r="B42" s="137">
        <v>16.121</v>
      </c>
      <c r="C42" s="137">
        <v>4.736</v>
      </c>
      <c r="D42" s="137">
        <v>7.558</v>
      </c>
      <c r="E42" s="137">
        <v>14.096</v>
      </c>
      <c r="F42" s="137">
        <v>17.441</v>
      </c>
      <c r="G42" s="137">
        <v>5.123</v>
      </c>
      <c r="H42" s="137">
        <v>4.621</v>
      </c>
      <c r="I42" s="137">
        <v>8.619</v>
      </c>
      <c r="J42" s="23">
        <f t="shared" si="0"/>
        <v>0.9243162662691359</v>
      </c>
      <c r="K42" s="23">
        <f t="shared" si="1"/>
        <v>0.924458325200078</v>
      </c>
      <c r="L42" s="23">
        <f t="shared" si="2"/>
        <v>1.6355767149967537</v>
      </c>
      <c r="M42" s="23">
        <f t="shared" si="3"/>
        <v>1.6354565494836988</v>
      </c>
      <c r="N42" s="24">
        <f t="shared" si="4"/>
        <v>2.5598929812658895</v>
      </c>
      <c r="O42" s="24">
        <f t="shared" si="5"/>
        <v>2.559914874683777</v>
      </c>
    </row>
    <row r="43" spans="1:15" s="172" customFormat="1" ht="12">
      <c r="A43" s="12" t="s">
        <v>157</v>
      </c>
      <c r="B43" s="137">
        <v>631.555</v>
      </c>
      <c r="C43" s="137">
        <v>214.429</v>
      </c>
      <c r="D43" s="137">
        <v>878.298</v>
      </c>
      <c r="E43" s="137">
        <v>305.463</v>
      </c>
      <c r="F43" s="137">
        <v>510.002</v>
      </c>
      <c r="G43" s="137">
        <v>129.449</v>
      </c>
      <c r="H43" s="137">
        <v>431.258</v>
      </c>
      <c r="I43" s="137">
        <v>214.586</v>
      </c>
      <c r="J43" s="23">
        <f t="shared" si="0"/>
        <v>1.2383382810263488</v>
      </c>
      <c r="K43" s="23">
        <f t="shared" si="1"/>
        <v>1.6564747506740105</v>
      </c>
      <c r="L43" s="23">
        <f t="shared" si="2"/>
        <v>2.0365952631603355</v>
      </c>
      <c r="M43" s="23">
        <f t="shared" si="3"/>
        <v>1.423499203116699</v>
      </c>
      <c r="N43" s="24">
        <f t="shared" si="4"/>
        <v>3.274933544186684</v>
      </c>
      <c r="O43" s="24">
        <f t="shared" si="5"/>
        <v>3.0799739537907094</v>
      </c>
    </row>
    <row r="44" spans="1:15" s="172" customFormat="1" ht="12.75" thickBot="1">
      <c r="A44" s="12" t="s">
        <v>66</v>
      </c>
      <c r="B44" s="173">
        <v>360.161</v>
      </c>
      <c r="C44" s="173">
        <v>131.416</v>
      </c>
      <c r="D44" s="173">
        <v>475.854</v>
      </c>
      <c r="E44" s="173">
        <v>418.543</v>
      </c>
      <c r="F44" s="173">
        <v>500.224</v>
      </c>
      <c r="G44" s="173">
        <v>182.985</v>
      </c>
      <c r="H44" s="173">
        <v>506.228</v>
      </c>
      <c r="I44" s="173">
        <v>339.438</v>
      </c>
      <c r="J44" s="135">
        <f t="shared" si="0"/>
        <v>0.7199994402507677</v>
      </c>
      <c r="K44" s="135">
        <f t="shared" si="1"/>
        <v>0.7181790857174084</v>
      </c>
      <c r="L44" s="135">
        <f t="shared" si="2"/>
        <v>0.9399993678737644</v>
      </c>
      <c r="M44" s="135">
        <f t="shared" si="3"/>
        <v>1.2330469776512942</v>
      </c>
      <c r="N44" s="140">
        <f t="shared" si="4"/>
        <v>1.659998808124532</v>
      </c>
      <c r="O44" s="140">
        <f t="shared" si="5"/>
        <v>1.9512260633687026</v>
      </c>
    </row>
    <row r="45" spans="1:15" ht="13.5" thickBot="1">
      <c r="A45" s="16" t="s">
        <v>126</v>
      </c>
      <c r="B45" s="121">
        <f>SUM(B5:B44)</f>
        <v>9393.249000000002</v>
      </c>
      <c r="C45" s="121">
        <f aca="true" t="shared" si="6" ref="C45:I45">SUM(C5:C44)</f>
        <v>4171.37</v>
      </c>
      <c r="D45" s="121">
        <f t="shared" si="6"/>
        <v>12615.77</v>
      </c>
      <c r="E45" s="121">
        <f t="shared" si="6"/>
        <v>8854.5907</v>
      </c>
      <c r="F45" s="121">
        <f t="shared" si="6"/>
        <v>12669.604</v>
      </c>
      <c r="G45" s="121">
        <f t="shared" si="6"/>
        <v>5300.549999999998</v>
      </c>
      <c r="H45" s="121">
        <f t="shared" si="6"/>
        <v>12109.304000000002</v>
      </c>
      <c r="I45" s="121">
        <f t="shared" si="6"/>
        <v>7388.711999999999</v>
      </c>
      <c r="J45" s="124"/>
      <c r="K45" s="124"/>
      <c r="L45" s="124"/>
      <c r="M45" s="124"/>
      <c r="N45" s="124"/>
      <c r="O45" s="125"/>
    </row>
    <row r="46" spans="1:15" ht="13.5" thickBot="1">
      <c r="A46" s="63" t="s">
        <v>127</v>
      </c>
      <c r="B46" s="126"/>
      <c r="C46" s="126"/>
      <c r="D46" s="126"/>
      <c r="E46" s="126"/>
      <c r="F46" s="126"/>
      <c r="G46" s="126"/>
      <c r="H46" s="126"/>
      <c r="I46" s="126"/>
      <c r="J46" s="122">
        <f aca="true" t="shared" si="7" ref="J46:O46">SUM(J5:J44)/29</f>
        <v>1.1347438747683445</v>
      </c>
      <c r="K46" s="122">
        <f t="shared" si="7"/>
        <v>1.2429251718539165</v>
      </c>
      <c r="L46" s="122">
        <f t="shared" si="7"/>
        <v>1.593053172215847</v>
      </c>
      <c r="M46" s="122">
        <f t="shared" si="7"/>
        <v>1.7932015100559229</v>
      </c>
      <c r="N46" s="122">
        <f t="shared" si="7"/>
        <v>2.7277970469841906</v>
      </c>
      <c r="O46" s="123">
        <f t="shared" si="7"/>
        <v>3.03612668190984</v>
      </c>
    </row>
    <row r="48" spans="1:4" s="175" customFormat="1" ht="12.75">
      <c r="A48" s="214" t="s">
        <v>188</v>
      </c>
      <c r="B48" s="214"/>
      <c r="C48" s="214"/>
      <c r="D48" s="214"/>
    </row>
    <row r="49" spans="1:4" s="175" customFormat="1" ht="12.75">
      <c r="A49" s="216" t="s">
        <v>189</v>
      </c>
      <c r="B49" s="213"/>
      <c r="C49" s="214"/>
      <c r="D49" s="214"/>
    </row>
    <row r="50" spans="1:4" s="175" customFormat="1" ht="12.75">
      <c r="A50" s="216" t="s">
        <v>190</v>
      </c>
      <c r="B50" s="213"/>
      <c r="C50" s="215"/>
      <c r="D50" s="214"/>
    </row>
    <row r="51" spans="1:4" s="175" customFormat="1" ht="12.75">
      <c r="A51" s="216" t="s">
        <v>191</v>
      </c>
      <c r="B51" s="213"/>
      <c r="C51" s="215"/>
      <c r="D51" s="214"/>
    </row>
    <row r="52" spans="1:4" s="175" customFormat="1" ht="12.75">
      <c r="A52" s="216" t="s">
        <v>193</v>
      </c>
      <c r="B52" s="213"/>
      <c r="C52" s="215"/>
      <c r="D52" s="214"/>
    </row>
    <row r="53" s="175" customFormat="1" ht="12.75"/>
  </sheetData>
  <sheetProtection selectLockedCells="1" selectUnlockedCells="1"/>
  <mergeCells count="11">
    <mergeCell ref="A1:O1"/>
    <mergeCell ref="B2:E2"/>
    <mergeCell ref="F2:I2"/>
    <mergeCell ref="J2:M2"/>
    <mergeCell ref="L3:M3"/>
    <mergeCell ref="N3:O3"/>
    <mergeCell ref="B3:C3"/>
    <mergeCell ref="D3:E3"/>
    <mergeCell ref="F3:G3"/>
    <mergeCell ref="H3:I3"/>
    <mergeCell ref="J3:K3"/>
  </mergeCells>
  <printOptions/>
  <pageMargins left="0.7479166666666667" right="0.39375" top="0.9840277777777777" bottom="0.9840277777777777" header="0.5118055555555555" footer="0.5118055555555555"/>
  <pageSetup horizontalDpi="600" verticalDpi="600" orientation="landscape" paperSize="9" scale="80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D44"/>
  <sheetViews>
    <sheetView zoomScale="85" zoomScaleNormal="85" zoomScalePageLayoutView="0" workbookViewId="0" topLeftCell="A19">
      <selection activeCell="E47" sqref="E47"/>
    </sheetView>
  </sheetViews>
  <sheetFormatPr defaultColWidth="9.140625" defaultRowHeight="12.75"/>
  <cols>
    <col min="2" max="2" width="19.421875" style="0" customWidth="1"/>
  </cols>
  <sheetData>
    <row r="2" ht="12.75">
      <c r="B2" t="s">
        <v>128</v>
      </c>
    </row>
    <row r="3" spans="2:4" ht="12.75">
      <c r="B3" s="27"/>
      <c r="C3" s="27" t="s">
        <v>107</v>
      </c>
      <c r="D3" s="27" t="s">
        <v>99</v>
      </c>
    </row>
    <row r="4" spans="2:4" ht="12.75">
      <c r="B4" s="21" t="s">
        <v>152</v>
      </c>
      <c r="C4" s="30">
        <f>Müügitulu!N5</f>
        <v>2.424796424018643</v>
      </c>
      <c r="D4" s="30">
        <f>Müügitulu!O5</f>
        <v>3.7869631461653155</v>
      </c>
    </row>
    <row r="5" spans="2:4" ht="12.75">
      <c r="B5" s="12" t="s">
        <v>25</v>
      </c>
      <c r="C5" s="30">
        <f>Müügitulu!N6</f>
        <v>1.952328535034028</v>
      </c>
      <c r="D5" s="30">
        <f>Müügitulu!O6</f>
        <v>2.1776502878469963</v>
      </c>
    </row>
    <row r="6" spans="2:4" ht="12.75">
      <c r="B6" s="12" t="s">
        <v>176</v>
      </c>
      <c r="C6" s="30">
        <f>Müügitulu!N7</f>
        <v>1.328555991992751</v>
      </c>
      <c r="D6" s="30">
        <f>Müügitulu!O7</f>
        <v>0</v>
      </c>
    </row>
    <row r="7" spans="2:4" ht="12.75">
      <c r="B7" s="12" t="s">
        <v>153</v>
      </c>
      <c r="C7" s="30">
        <f>Müügitulu!N8</f>
        <v>1.8971557260355283</v>
      </c>
      <c r="D7" s="30">
        <f>Müügitulu!O8</f>
        <v>2.2570974704600815</v>
      </c>
    </row>
    <row r="8" spans="2:4" ht="12.75">
      <c r="B8" s="12" t="s">
        <v>95</v>
      </c>
      <c r="C8" s="30">
        <f>Müügitulu!N9</f>
        <v>2.187356884759404</v>
      </c>
      <c r="D8" s="30">
        <f>Müügitulu!O9</f>
        <v>0</v>
      </c>
    </row>
    <row r="9" spans="2:4" ht="12.75">
      <c r="B9" s="12" t="s">
        <v>27</v>
      </c>
      <c r="C9" s="30">
        <f>Müügitulu!N10</f>
        <v>1.6909788103658343</v>
      </c>
      <c r="D9" s="30">
        <f>Müügitulu!O10</f>
        <v>2.1320794108273344</v>
      </c>
    </row>
    <row r="10" spans="2:4" ht="12.75">
      <c r="B10" s="12" t="s">
        <v>29</v>
      </c>
      <c r="C10" s="30">
        <f>Müügitulu!N11</f>
        <v>1.4089184372050725</v>
      </c>
      <c r="D10" s="30">
        <f>Müügitulu!O11</f>
        <v>1.5892172804227724</v>
      </c>
    </row>
    <row r="11" spans="2:4" ht="12.75">
      <c r="B11" s="12" t="s">
        <v>26</v>
      </c>
      <c r="C11" s="30">
        <f>Müügitulu!N12</f>
        <v>2.1175171351922355</v>
      </c>
      <c r="D11" s="30">
        <f>Müügitulu!O12</f>
        <v>2.5402767327075426</v>
      </c>
    </row>
    <row r="12" spans="2:4" ht="12.75">
      <c r="B12" s="12" t="s">
        <v>31</v>
      </c>
      <c r="C12" s="30">
        <f>Müügitulu!N13</f>
        <v>2.169989298494284</v>
      </c>
      <c r="D12" s="30">
        <f>Müügitulu!O13</f>
        <v>2.1814006750554324</v>
      </c>
    </row>
    <row r="13" spans="2:4" ht="12.75">
      <c r="B13" s="12" t="s">
        <v>41</v>
      </c>
      <c r="C13" s="30">
        <f>Müügitulu!N14</f>
        <v>1.7316482547970824</v>
      </c>
      <c r="D13" s="30">
        <f>Müügitulu!O14</f>
        <v>2.402480032918054</v>
      </c>
    </row>
    <row r="14" spans="2:4" ht="12.75">
      <c r="B14" s="12" t="s">
        <v>33</v>
      </c>
      <c r="C14" s="30">
        <f>Müügitulu!N15</f>
        <v>1.7257284158307113</v>
      </c>
      <c r="D14" s="30">
        <f>Müügitulu!O15</f>
        <v>2.0061573181513097</v>
      </c>
    </row>
    <row r="15" spans="2:4" ht="12.75">
      <c r="B15" s="12" t="s">
        <v>112</v>
      </c>
      <c r="C15" s="30">
        <f>Müügitulu!N16</f>
        <v>2.820005822752668</v>
      </c>
      <c r="D15" s="30">
        <f>Müügitulu!O16</f>
        <v>4.390058297336973</v>
      </c>
    </row>
    <row r="16" spans="2:4" ht="12.75">
      <c r="B16" s="12" t="s">
        <v>34</v>
      </c>
      <c r="C16" s="30">
        <f>Müügitulu!N17</f>
        <v>1.4649804044782573</v>
      </c>
      <c r="D16" s="30">
        <f>Müügitulu!O17</f>
        <v>0.8765451950843411</v>
      </c>
    </row>
    <row r="17" spans="2:4" ht="12.75">
      <c r="B17" s="12" t="s">
        <v>35</v>
      </c>
      <c r="C17" s="30">
        <f>Müügitulu!N18</f>
        <v>2.5360051804757044</v>
      </c>
      <c r="D17" s="30">
        <f>Müügitulu!O18</f>
        <v>3.2095146908989713</v>
      </c>
    </row>
    <row r="18" spans="2:4" ht="12.75">
      <c r="B18" s="12" t="s">
        <v>37</v>
      </c>
      <c r="C18" s="30">
        <f>Müügitulu!N19</f>
        <v>3.0800236788289745</v>
      </c>
      <c r="D18" s="30">
        <f>Müügitulu!O19</f>
        <v>3.0770749791939433</v>
      </c>
    </row>
    <row r="19" spans="2:4" ht="12.75">
      <c r="B19" s="12" t="s">
        <v>154</v>
      </c>
      <c r="C19" s="30">
        <f>Müügitulu!N20</f>
        <v>0</v>
      </c>
      <c r="D19" s="30">
        <f>Müügitulu!O20</f>
        <v>0</v>
      </c>
    </row>
    <row r="20" spans="2:4" ht="12.75">
      <c r="B20" s="21" t="s">
        <v>39</v>
      </c>
      <c r="C20" s="30">
        <f>Müügitulu!N21</f>
        <v>2.034313262597867</v>
      </c>
      <c r="D20" s="30">
        <f>Müügitulu!O21</f>
        <v>2.4168227183718756</v>
      </c>
    </row>
    <row r="21" spans="2:4" ht="12.75">
      <c r="B21" s="12" t="s">
        <v>42</v>
      </c>
      <c r="C21" s="142">
        <f>Müügitulu!N22</f>
        <v>3.8120195477473855</v>
      </c>
      <c r="D21" s="142">
        <f>Müügitulu!O22</f>
        <v>3.7933095673560375</v>
      </c>
    </row>
    <row r="22" spans="2:4" ht="12.75">
      <c r="B22" s="12" t="s">
        <v>43</v>
      </c>
      <c r="C22" s="30">
        <f>Müügitulu!N23</f>
        <v>2.0698400369120056</v>
      </c>
      <c r="D22" s="30">
        <f>Müügitulu!O23</f>
        <v>2.070304584642875</v>
      </c>
    </row>
    <row r="23" spans="2:4" ht="12.75">
      <c r="B23" s="12" t="s">
        <v>45</v>
      </c>
      <c r="C23" s="30">
        <f>Müügitulu!N24</f>
        <v>1.974212340182785</v>
      </c>
      <c r="D23" s="30">
        <f>Müügitulu!O24</f>
        <v>2.453987006512676</v>
      </c>
    </row>
    <row r="24" spans="2:4" ht="12.75">
      <c r="B24" s="12" t="s">
        <v>89</v>
      </c>
      <c r="C24" s="30">
        <f>Müügitulu!N25</f>
        <v>1.7828941312266893</v>
      </c>
      <c r="D24" s="30">
        <f>Müügitulu!O25</f>
        <v>2.6484192357511667</v>
      </c>
    </row>
    <row r="25" spans="2:4" ht="12.75">
      <c r="B25" s="12" t="s">
        <v>49</v>
      </c>
      <c r="C25" s="30">
        <f>Müügitulu!N26</f>
        <v>1.8673445098582397</v>
      </c>
      <c r="D25" s="30">
        <f>Müügitulu!O26</f>
        <v>1.779341329041233</v>
      </c>
    </row>
    <row r="26" spans="2:4" ht="12.75">
      <c r="B26" s="12" t="s">
        <v>44</v>
      </c>
      <c r="C26" s="30">
        <f>Müügitulu!N27</f>
        <v>2.025252018442133</v>
      </c>
      <c r="D26" s="30">
        <f>Müügitulu!O27</f>
        <v>2.434594822455564</v>
      </c>
    </row>
    <row r="27" spans="2:4" ht="12.75">
      <c r="B27" s="12" t="s">
        <v>48</v>
      </c>
      <c r="C27" s="30">
        <f>Müügitulu!N28</f>
        <v>1.6331676409925775</v>
      </c>
      <c r="D27" s="30">
        <f>Müügitulu!O28</f>
        <v>1.9587517840042334</v>
      </c>
    </row>
    <row r="28" spans="2:4" ht="12.75">
      <c r="B28" s="21" t="s">
        <v>50</v>
      </c>
      <c r="C28" s="30">
        <f>Müügitulu!N29</f>
        <v>1.334002649656452</v>
      </c>
      <c r="D28" s="30">
        <f>Müügitulu!O29</f>
        <v>1.3609024461131864</v>
      </c>
    </row>
    <row r="29" spans="2:4" ht="12.75">
      <c r="B29" s="12" t="s">
        <v>52</v>
      </c>
      <c r="C29" s="30">
        <f>Müügitulu!N30</f>
        <v>1.6398681710902026</v>
      </c>
      <c r="D29" s="30">
        <f>Müügitulu!O30</f>
        <v>1.6518289602741887</v>
      </c>
    </row>
    <row r="30" spans="2:4" ht="12.75">
      <c r="B30" s="12" t="s">
        <v>56</v>
      </c>
      <c r="C30" s="30">
        <v>1.62</v>
      </c>
      <c r="D30" s="30">
        <v>2.03</v>
      </c>
    </row>
    <row r="31" spans="2:4" ht="12.75">
      <c r="B31" s="12" t="s">
        <v>53</v>
      </c>
      <c r="C31" s="30">
        <f>Müügitulu!N32</f>
        <v>1.3441134032375086</v>
      </c>
      <c r="D31" s="30">
        <f>Müügitulu!O32</f>
        <v>1.7368332792312309</v>
      </c>
    </row>
    <row r="32" spans="2:4" ht="12.75">
      <c r="B32" s="12" t="s">
        <v>91</v>
      </c>
      <c r="C32" s="30">
        <f>Müügitulu!N33</f>
        <v>2.269316063858995</v>
      </c>
      <c r="D32" s="30">
        <f>Müügitulu!O33</f>
        <v>3.863209101676083</v>
      </c>
    </row>
    <row r="33" spans="2:4" ht="12.75">
      <c r="B33" s="12" t="s">
        <v>57</v>
      </c>
      <c r="C33" s="30">
        <f>Müügitulu!N34</f>
        <v>1.729956158008122</v>
      </c>
      <c r="D33" s="30">
        <f>Müügitulu!O34</f>
        <v>3.537106585803393</v>
      </c>
    </row>
    <row r="34" spans="2:4" ht="12.75">
      <c r="B34" s="12" t="s">
        <v>155</v>
      </c>
      <c r="C34" s="30">
        <f>Müügitulu!N35</f>
        <v>2.0170271135422815</v>
      </c>
      <c r="D34" s="30">
        <f>Müügitulu!O35</f>
        <v>2.2657447368299755</v>
      </c>
    </row>
    <row r="35" spans="2:4" ht="12.75">
      <c r="B35" s="12" t="s">
        <v>60</v>
      </c>
      <c r="C35" s="30">
        <f>Müügitulu!N36</f>
        <v>1.587269877811875</v>
      </c>
      <c r="D35" s="30">
        <f>Müügitulu!O36</f>
        <v>1.9048242235230408</v>
      </c>
    </row>
    <row r="36" spans="2:4" ht="12.75">
      <c r="B36" s="12" t="s">
        <v>156</v>
      </c>
      <c r="C36" s="30">
        <f>Müügitulu!N37</f>
        <v>2.057986404778233</v>
      </c>
      <c r="D36" s="30">
        <f>Müügitulu!O37</f>
        <v>2.0579905655274984</v>
      </c>
    </row>
    <row r="37" spans="2:4" ht="12.75">
      <c r="B37" s="12" t="s">
        <v>63</v>
      </c>
      <c r="C37" s="30">
        <f>Müügitulu!N38</f>
        <v>1.6822704227318628</v>
      </c>
      <c r="D37" s="30">
        <f>Müügitulu!O38</f>
        <v>1.9670944699851867</v>
      </c>
    </row>
    <row r="38" spans="2:4" ht="12.75">
      <c r="B38" s="12" t="s">
        <v>64</v>
      </c>
      <c r="C38" s="30">
        <f>Müügitulu!N39</f>
        <v>2.191640029505778</v>
      </c>
      <c r="D38" s="30">
        <f>Müügitulu!O39</f>
        <v>2.1730769230769234</v>
      </c>
    </row>
    <row r="39" spans="2:4" ht="12.75">
      <c r="B39" s="12" t="s">
        <v>181</v>
      </c>
      <c r="C39" s="30">
        <f>Müügitulu!N40</f>
        <v>2.7941857277399613</v>
      </c>
      <c r="D39" s="30">
        <f>Müügitulu!O40</f>
        <v>2.7942083389194265</v>
      </c>
    </row>
    <row r="40" spans="2:4" ht="12.75">
      <c r="B40" s="12" t="s">
        <v>68</v>
      </c>
      <c r="C40" s="30">
        <f>Müügitulu!N41</f>
        <v>1.7250534351811506</v>
      </c>
      <c r="D40" s="30">
        <f>Müügitulu!O41</f>
        <v>1.7542421352393571</v>
      </c>
    </row>
    <row r="41" spans="2:4" ht="12.75">
      <c r="B41" s="12" t="s">
        <v>111</v>
      </c>
      <c r="C41" s="30">
        <f>Müügitulu!N42</f>
        <v>2.5598929812658895</v>
      </c>
      <c r="D41" s="30">
        <f>Müügitulu!O42</f>
        <v>2.559914874683777</v>
      </c>
    </row>
    <row r="42" spans="2:4" ht="12.75">
      <c r="B42" s="12" t="s">
        <v>157</v>
      </c>
      <c r="C42" s="30">
        <f>Müügitulu!N43</f>
        <v>3.274933544186684</v>
      </c>
      <c r="D42" s="30">
        <f>Müügitulu!O43</f>
        <v>3.0799739537907094</v>
      </c>
    </row>
    <row r="43" spans="2:4" ht="13.5" thickBot="1">
      <c r="B43" s="12" t="s">
        <v>66</v>
      </c>
      <c r="C43" s="31">
        <f>Müügitulu!N44</f>
        <v>1.659998808124532</v>
      </c>
      <c r="D43" s="31">
        <f>Müügitulu!O44</f>
        <v>1.9512260633687026</v>
      </c>
    </row>
    <row r="44" spans="2:4" ht="13.5" thickBot="1">
      <c r="B44" s="16" t="s">
        <v>127</v>
      </c>
      <c r="C44" s="127">
        <f>AVERAGE(C4:C43)</f>
        <v>1.9805636819735095</v>
      </c>
      <c r="D44" s="128">
        <f>AVERAGE(D4:D43)</f>
        <v>2.2217555805811857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2012-09-24T07:01:16Z</cp:lastPrinted>
  <dcterms:created xsi:type="dcterms:W3CDTF">2011-04-04T08:08:24Z</dcterms:created>
  <dcterms:modified xsi:type="dcterms:W3CDTF">2013-04-25T07:05:51Z</dcterms:modified>
  <cp:category/>
  <cp:version/>
  <cp:contentType/>
  <cp:contentStatus/>
</cp:coreProperties>
</file>