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Veehind abonenttasuga" sheetId="1" r:id="rId1"/>
    <sheet name="Veeteenused ettevõtetele" sheetId="2" r:id="rId2"/>
    <sheet name="Veeteenused el." sheetId="3" r:id="rId3"/>
    <sheet name="Elanikkonnale" sheetId="4" r:id="rId4"/>
    <sheet name="Ettevõtetele" sheetId="5" r:id="rId5"/>
    <sheet name="1m3 tulu" sheetId="6" r:id="rId6"/>
    <sheet name="Müügitulu" sheetId="7" r:id="rId7"/>
    <sheet name="Graafik" sheetId="8" r:id="rId8"/>
  </sheets>
  <definedNames>
    <definedName name="Prindiala_2">'Veeteenused ettevõtetele'!$A$1:$H$91</definedName>
    <definedName name="Prindiala_4">'Elanikkonnale'!$B$1:$P$38</definedName>
    <definedName name="Prindiala_5">'Ettevõtetele'!$B$1:$P$38</definedName>
    <definedName name="Prindiala_8">'Graafik'!$A$1:$M$38</definedName>
  </definedNames>
  <calcPr fullCalcOnLoad="1"/>
</workbook>
</file>

<file path=xl/sharedStrings.xml><?xml version="1.0" encoding="utf-8"?>
<sst xmlns="http://schemas.openxmlformats.org/spreadsheetml/2006/main" count="691" uniqueCount="233">
  <si>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</si>
  <si>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</si>
  <si>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</si>
  <si>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</si>
  <si>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</si>
  <si>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</si>
  <si>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</si>
  <si>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</si>
  <si>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</si>
  <si>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</si>
  <si>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</si>
  <si>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</si>
  <si>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</si>
  <si>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</si>
  <si>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</si>
  <si>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</si>
  <si>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</si>
  <si>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</si>
  <si>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</si>
  <si>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</si>
  <si>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tuh.kr</t>
  </si>
  <si>
    <t>€</t>
  </si>
  <si>
    <t>elanikkond</t>
  </si>
  <si>
    <t>asutused</t>
  </si>
  <si>
    <t>Haapsalu Veevärk  AS</t>
  </si>
  <si>
    <t>Haapsalu</t>
  </si>
  <si>
    <t xml:space="preserve"> Iivakivi AS</t>
  </si>
  <si>
    <t>Karksi-Nuia</t>
  </si>
  <si>
    <t>Emajõe Veevärk AS</t>
  </si>
  <si>
    <t>Jõgeva Veevärk OÜ</t>
  </si>
  <si>
    <t>Jõgeva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</si>
  <si>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</si>
  <si>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</si>
  <si>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</si>
  <si>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</si>
  <si>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</si>
  <si>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</si>
  <si>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</si>
  <si>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Keila</t>
  </si>
  <si>
    <t>Kiviõli Vesi OÜ</t>
  </si>
  <si>
    <t>Kiviõli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</si>
  <si>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</si>
  <si>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</si>
  <si>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</si>
  <si>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</si>
  <si>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</si>
  <si>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</si>
  <si>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</si>
  <si>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Kärdla</t>
  </si>
  <si>
    <t>Lahevesi AS</t>
  </si>
  <si>
    <t>Matsalu Veevärk AS</t>
  </si>
  <si>
    <t>Põltsamaa Varahalduse OÜ</t>
  </si>
  <si>
    <t>Põltsamaa</t>
  </si>
  <si>
    <t>Paide Vesi AS</t>
  </si>
  <si>
    <t>Paide</t>
  </si>
  <si>
    <t>Paldiski Linnahoolduse OÜ</t>
  </si>
  <si>
    <t>Paldiski</t>
  </si>
  <si>
    <t>Põlva Vesi  AS</t>
  </si>
  <si>
    <t>Põlva</t>
  </si>
  <si>
    <t>Pärnu Vesi AS</t>
  </si>
  <si>
    <t>Pärnu</t>
  </si>
  <si>
    <t>Rakvere Vesi AS</t>
  </si>
  <si>
    <t>Rakvere</t>
  </si>
  <si>
    <t>Rapla Vesi AS</t>
  </si>
  <si>
    <t>Rapla</t>
  </si>
  <si>
    <t>Sillamäe Veevärk AS</t>
  </si>
  <si>
    <t>Sillamäe</t>
  </si>
  <si>
    <t>Strantum  OÜ</t>
  </si>
  <si>
    <t>Tabasalu</t>
  </si>
  <si>
    <t>Saku Maja AS</t>
  </si>
  <si>
    <t>Tallinna Vesi AS</t>
  </si>
  <si>
    <t>Tallinn</t>
  </si>
  <si>
    <t>Tapa Vesi AS</t>
  </si>
  <si>
    <t>Tapa</t>
  </si>
  <si>
    <t>Tartu Veevärk AS</t>
  </si>
  <si>
    <t>Tartu</t>
  </si>
  <si>
    <t>Tõrva Linnahoolduse Asutus</t>
  </si>
  <si>
    <t>Tõrva</t>
  </si>
  <si>
    <t>Türi Vesi OÜ</t>
  </si>
  <si>
    <t>Türi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</si>
  <si>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</si>
  <si>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</si>
  <si>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</si>
  <si>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</si>
  <si>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</si>
  <si>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</si>
  <si>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</si>
  <si>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r>
      <t>seisuga 01.01.2011.a  (käibemaksuga)    €/m</t>
    </r>
    <r>
      <rPr>
        <vertAlign val="superscript"/>
        <sz val="10"/>
        <rFont val="Arial"/>
        <family val="2"/>
      </rPr>
      <t xml:space="preserve">3            </t>
    </r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</si>
  <si>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</si>
  <si>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</si>
  <si>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</si>
  <si>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</si>
  <si>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</si>
  <si>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</si>
  <si>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</si>
  <si>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</si>
  <si>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</si>
  <si>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</si>
  <si>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</si>
  <si>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</si>
  <si>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</si>
  <si>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</si>
  <si>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</si>
  <si>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</si>
  <si>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</si>
  <si>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Haapsalu </t>
  </si>
  <si>
    <t>Haapsalu linn, Ridala ja Vormsi</t>
  </si>
  <si>
    <t>Risti</t>
  </si>
  <si>
    <t>Piirsalu, Vahtra</t>
  </si>
  <si>
    <t>Pürksi, Sutlepa</t>
  </si>
  <si>
    <t>Linnamäe</t>
  </si>
  <si>
    <t>Palivere</t>
  </si>
  <si>
    <t>Jõgeva  Vesi  OÜ</t>
  </si>
  <si>
    <t xml:space="preserve">Kiviõli </t>
  </si>
  <si>
    <t>Lüganuse vald</t>
  </si>
  <si>
    <t>Sonda</t>
  </si>
  <si>
    <t>Erra</t>
  </si>
  <si>
    <t>Kuresssare</t>
  </si>
  <si>
    <t>Orissaare</t>
  </si>
  <si>
    <t>Pöide</t>
  </si>
  <si>
    <t>Mustjala</t>
  </si>
  <si>
    <t>Pihtla</t>
  </si>
  <si>
    <t>Kihelkonna</t>
  </si>
  <si>
    <t>Lümanda</t>
  </si>
  <si>
    <t>Muhu</t>
  </si>
  <si>
    <t>Kärdla, Käina</t>
  </si>
  <si>
    <t>I gr</t>
  </si>
  <si>
    <t>II gr</t>
  </si>
  <si>
    <t>III gr</t>
  </si>
  <si>
    <t>Suuremõisa,Palade</t>
  </si>
  <si>
    <t>Keila  vald</t>
  </si>
  <si>
    <t>Põlsamaa Varahalduse OÜ</t>
  </si>
  <si>
    <t>Paldiski Linnahoolduse  OÜ</t>
  </si>
  <si>
    <t>Põlva linn</t>
  </si>
  <si>
    <t>Põlva vald</t>
  </si>
  <si>
    <t>Ahja vald</t>
  </si>
  <si>
    <t>Paikuse</t>
  </si>
  <si>
    <t>Audru vald</t>
  </si>
  <si>
    <t>I grupp</t>
  </si>
  <si>
    <t>II grupp</t>
  </si>
  <si>
    <t>III grupp</t>
  </si>
  <si>
    <t>IV grupp</t>
  </si>
  <si>
    <t>V grupp</t>
  </si>
  <si>
    <t>Näpi, Sõmeru</t>
  </si>
  <si>
    <t>Rapla linn,Valtu, Uusküla</t>
  </si>
  <si>
    <t>Alu, Hagudi, Iira, Kuusiku</t>
  </si>
  <si>
    <t>Kodila küla</t>
  </si>
  <si>
    <t xml:space="preserve"> </t>
  </si>
  <si>
    <t>Strantum OÜ</t>
  </si>
  <si>
    <t>Saku alev ja Männiku küla</t>
  </si>
  <si>
    <t>I ohugrupp</t>
  </si>
  <si>
    <t>II ohugrupp</t>
  </si>
  <si>
    <t>Kurtna küla, 3 asulat</t>
  </si>
  <si>
    <t>Tõrva Linnah.Asutus</t>
  </si>
  <si>
    <t>Oisu</t>
  </si>
  <si>
    <t>Kabala</t>
  </si>
  <si>
    <t xml:space="preserve">                                         </t>
  </si>
  <si>
    <t xml:space="preserve">            </t>
  </si>
  <si>
    <t>VEETEENUSTE HIND ELANIKKONNALE (käibemaksuga)                      TABEL 2</t>
  </si>
  <si>
    <t>seisuga 01.01.2011.a</t>
  </si>
  <si>
    <t>Kanal.(tarrif)</t>
  </si>
  <si>
    <t>vesi-kanal.</t>
  </si>
  <si>
    <r>
      <t>€r/m</t>
    </r>
    <r>
      <rPr>
        <vertAlign val="superscript"/>
        <sz val="8"/>
        <rFont val="Arial"/>
        <family val="2"/>
      </rPr>
      <t>3</t>
    </r>
  </si>
  <si>
    <t>Kiviõli linn</t>
  </si>
  <si>
    <t xml:space="preserve"> Kärdla Veevärk AS</t>
  </si>
  <si>
    <t>Käina</t>
  </si>
  <si>
    <t>Suuremõisa</t>
  </si>
  <si>
    <t>Palade</t>
  </si>
  <si>
    <t>Keila vald</t>
  </si>
  <si>
    <t>Sindi</t>
  </si>
  <si>
    <t>Sõmeru, Näpi</t>
  </si>
  <si>
    <t>Saku alev ja Männiku</t>
  </si>
  <si>
    <t>AS Tallinna Vesi</t>
  </si>
  <si>
    <t>Tõrva Linnahool.Asutus</t>
  </si>
  <si>
    <t>Kirna</t>
  </si>
  <si>
    <t xml:space="preserve">VEETEENUSTE  HIND ELANIKKONNALE </t>
  </si>
  <si>
    <r>
      <t>(käibemaksuga)       €/m</t>
    </r>
    <r>
      <rPr>
        <vertAlign val="superscript"/>
        <sz val="10"/>
        <rFont val="Arial"/>
        <family val="2"/>
      </rPr>
      <t>3</t>
    </r>
  </si>
  <si>
    <t>ettevõtted</t>
  </si>
  <si>
    <t>vesi</t>
  </si>
  <si>
    <t>Haapsalu Veevärk  AS,linn</t>
  </si>
  <si>
    <t>Iivakivi AS</t>
  </si>
  <si>
    <t>Kiviõli Vesi OÜ (linn)</t>
  </si>
  <si>
    <t>Kärdla Veevärk AS linn</t>
  </si>
  <si>
    <t>Põlva Vesi  AS (linn)</t>
  </si>
  <si>
    <t>Pärnu Vesi AS (Pärnu linn)</t>
  </si>
  <si>
    <t>Rakvere Vesi AS (linn)</t>
  </si>
  <si>
    <t>Rapla Vesi AS (linn)</t>
  </si>
  <si>
    <t xml:space="preserve"> Tallinna Vesi AS</t>
  </si>
  <si>
    <t>Türi Vesi OÜ (linn)</t>
  </si>
  <si>
    <t xml:space="preserve"> Valga Vesi AS</t>
  </si>
  <si>
    <t>VEETEENUSTE HIND ETTEVÕTETELE</t>
  </si>
  <si>
    <r>
      <t>€/m</t>
    </r>
    <r>
      <rPr>
        <b/>
        <vertAlign val="superscript"/>
        <sz val="10"/>
        <rFont val="Arial"/>
        <family val="2"/>
      </rPr>
      <t>3</t>
    </r>
  </si>
  <si>
    <t>Vesi</t>
  </si>
  <si>
    <t xml:space="preserve">Emajõe Veevärk AS </t>
  </si>
  <si>
    <t>Kiviõli Vesi OÜ( linn)</t>
  </si>
  <si>
    <t xml:space="preserve"> Kohila Maja OÜ</t>
  </si>
  <si>
    <t>Kuressaare Veevärk AS (linn)</t>
  </si>
  <si>
    <t>Kärdla Veevärk AS (linn)</t>
  </si>
  <si>
    <t>Põlva Vesi  AS  (linn)</t>
  </si>
  <si>
    <t>Pärnu Vesi AS (linn)</t>
  </si>
  <si>
    <t>Rakvere linn</t>
  </si>
  <si>
    <t>Rapla linn</t>
  </si>
  <si>
    <t xml:space="preserve">Tartu Veevärk AS </t>
  </si>
  <si>
    <t>Kokku</t>
  </si>
  <si>
    <t>Keskmine</t>
  </si>
  <si>
    <r>
      <t xml:space="preserve">     TULU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VEETEENUSTE MÜÜGIST</t>
    </r>
  </si>
  <si>
    <t>Elanikk.</t>
  </si>
  <si>
    <t>Asutustele</t>
  </si>
  <si>
    <t>Põlva Vesi AS</t>
  </si>
  <si>
    <t>Haapsalu Veevärk AS</t>
  </si>
  <si>
    <t>KESKMINE</t>
  </si>
  <si>
    <t>Järvakandi Kommunaal OÜ</t>
  </si>
  <si>
    <t>Tõrva Linnahoolduse AS</t>
  </si>
  <si>
    <t>Kose Vesi AS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</si>
  <si>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 krooni)  2010.aastal                                 TABEL 4</t>
    </r>
  </si>
  <si>
    <t>Veeteenustest saadud tulu (tuh kr)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</si>
  <si>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</si>
  <si>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Veeteenustest saadud tulu (kr)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</si>
  <si>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t>Vesi+kanal kokku</t>
  </si>
  <si>
    <t>Vee-ettevõtja</t>
  </si>
  <si>
    <t>Kanal</t>
  </si>
  <si>
    <r>
      <t>kr/m</t>
    </r>
    <r>
      <rPr>
        <vertAlign val="superscript"/>
        <sz val="9"/>
        <rFont val="Arial"/>
        <family val="2"/>
      </rPr>
      <t>3</t>
    </r>
  </si>
  <si>
    <t>Elanik.</t>
  </si>
  <si>
    <t>Asutused</t>
  </si>
  <si>
    <t>Elanikk</t>
  </si>
  <si>
    <t xml:space="preserve">Põltsamaa Varahalduse Oü </t>
  </si>
  <si>
    <t xml:space="preserve"> Tallinna Vesi</t>
  </si>
  <si>
    <t>VEETEENUSTE HIND</t>
  </si>
  <si>
    <t>Elanikele</t>
  </si>
  <si>
    <t>Põltsama Varahalduse OÜ</t>
  </si>
  <si>
    <t>Jõgeva  Veevärk OÜ</t>
  </si>
  <si>
    <t>Saku</t>
  </si>
  <si>
    <t>Esmar Ehitus 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</si>
</sst>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6.75"/>
      <color indexed="8"/>
      <name val="Arial"/>
      <family val="2"/>
    </font>
    <font>
      <sz val="9.25"/>
      <color indexed="8"/>
      <name val="Arial"/>
      <family val="2"/>
    </font>
    <font>
      <vertAlign val="superscript"/>
      <sz val="9.25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2" applyNumberFormat="0" applyAlignment="0" applyProtection="0"/>
    <xf numFmtId="0" fontId="51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43" borderId="8" applyNumberFormat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54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1" fillId="38" borderId="18" applyNumberFormat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4" borderId="19" xfId="0" applyFont="1" applyFill="1" applyBorder="1" applyAlignment="1">
      <alignment/>
    </xf>
    <xf numFmtId="0" fontId="20" fillId="4" borderId="20" xfId="0" applyFont="1" applyFill="1" applyBorder="1" applyAlignment="1">
      <alignment/>
    </xf>
    <xf numFmtId="0" fontId="20" fillId="4" borderId="2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/>
    </xf>
    <xf numFmtId="0" fontId="20" fillId="4" borderId="27" xfId="0" applyFont="1" applyFill="1" applyBorder="1" applyAlignment="1">
      <alignment/>
    </xf>
    <xf numFmtId="0" fontId="20" fillId="4" borderId="28" xfId="0" applyFont="1" applyFill="1" applyBorder="1" applyAlignment="1">
      <alignment/>
    </xf>
    <xf numFmtId="0" fontId="20" fillId="4" borderId="29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left"/>
    </xf>
    <xf numFmtId="2" fontId="20" fillId="0" borderId="36" xfId="0" applyNumberFormat="1" applyFont="1" applyFill="1" applyBorder="1" applyAlignment="1">
      <alignment horizontal="center"/>
    </xf>
    <xf numFmtId="173" fontId="20" fillId="0" borderId="3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20" fillId="4" borderId="37" xfId="0" applyFont="1" applyFill="1" applyBorder="1" applyAlignment="1">
      <alignment/>
    </xf>
    <xf numFmtId="0" fontId="23" fillId="4" borderId="38" xfId="0" applyFont="1" applyFill="1" applyBorder="1" applyAlignment="1">
      <alignment/>
    </xf>
    <xf numFmtId="0" fontId="20" fillId="4" borderId="39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4" borderId="41" xfId="0" applyFont="1" applyFill="1" applyBorder="1" applyAlignment="1">
      <alignment/>
    </xf>
    <xf numFmtId="0" fontId="20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/>
    </xf>
    <xf numFmtId="0" fontId="20" fillId="4" borderId="44" xfId="0" applyFont="1" applyFill="1" applyBorder="1" applyAlignment="1">
      <alignment/>
    </xf>
    <xf numFmtId="0" fontId="20" fillId="4" borderId="45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3" fillId="4" borderId="42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2" fontId="20" fillId="0" borderId="50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26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3" fillId="0" borderId="36" xfId="0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54" xfId="0" applyFont="1" applyFill="1" applyBorder="1" applyAlignment="1">
      <alignment/>
    </xf>
    <xf numFmtId="0" fontId="23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center"/>
    </xf>
    <xf numFmtId="2" fontId="20" fillId="0" borderId="54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2" fontId="20" fillId="0" borderId="55" xfId="0" applyNumberFormat="1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57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2" fontId="18" fillId="0" borderId="51" xfId="0" applyNumberFormat="1" applyFont="1" applyFill="1" applyBorder="1" applyAlignment="1">
      <alignment horizontal="center"/>
    </xf>
    <xf numFmtId="2" fontId="20" fillId="0" borderId="31" xfId="0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>
      <alignment horizontal="center"/>
    </xf>
    <xf numFmtId="2" fontId="18" fillId="0" borderId="53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20" fillId="0" borderId="36" xfId="0" applyNumberFormat="1" applyFont="1" applyBorder="1" applyAlignment="1">
      <alignment/>
    </xf>
    <xf numFmtId="0" fontId="20" fillId="4" borderId="60" xfId="0" applyFont="1" applyFill="1" applyBorder="1" applyAlignment="1">
      <alignment/>
    </xf>
    <xf numFmtId="0" fontId="23" fillId="4" borderId="61" xfId="0" applyFont="1" applyFill="1" applyBorder="1" applyAlignment="1">
      <alignment/>
    </xf>
    <xf numFmtId="0" fontId="20" fillId="4" borderId="60" xfId="0" applyFont="1" applyFill="1" applyBorder="1" applyAlignment="1">
      <alignment horizontal="center"/>
    </xf>
    <xf numFmtId="0" fontId="20" fillId="4" borderId="62" xfId="0" applyFont="1" applyFill="1" applyBorder="1" applyAlignment="1">
      <alignment horizontal="center"/>
    </xf>
    <xf numFmtId="0" fontId="20" fillId="4" borderId="63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64" xfId="0" applyBorder="1" applyAlignment="1">
      <alignment/>
    </xf>
    <xf numFmtId="0" fontId="20" fillId="0" borderId="6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30" xfId="0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5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48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9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4" borderId="6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right"/>
    </xf>
    <xf numFmtId="0" fontId="0" fillId="0" borderId="56" xfId="0" applyFill="1" applyBorder="1" applyAlignment="1">
      <alignment/>
    </xf>
    <xf numFmtId="0" fontId="20" fillId="0" borderId="29" xfId="0" applyFont="1" applyFill="1" applyBorder="1" applyAlignment="1">
      <alignment horizontal="right"/>
    </xf>
    <xf numFmtId="2" fontId="20" fillId="0" borderId="36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0" fontId="20" fillId="0" borderId="67" xfId="0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20" fillId="0" borderId="69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0" fontId="20" fillId="0" borderId="6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8" fillId="4" borderId="54" xfId="0" applyFont="1" applyFill="1" applyBorder="1" applyAlignment="1">
      <alignment/>
    </xf>
    <xf numFmtId="0" fontId="18" fillId="4" borderId="29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8" fillId="4" borderId="36" xfId="0" applyFont="1" applyFill="1" applyBorder="1" applyAlignment="1">
      <alignment horizontal="right"/>
    </xf>
    <xf numFmtId="0" fontId="24" fillId="4" borderId="36" xfId="0" applyFont="1" applyFill="1" applyBorder="1" applyAlignment="1">
      <alignment horizontal="right"/>
    </xf>
    <xf numFmtId="0" fontId="20" fillId="0" borderId="55" xfId="0" applyFont="1" applyBorder="1" applyAlignment="1">
      <alignment/>
    </xf>
    <xf numFmtId="2" fontId="20" fillId="0" borderId="55" xfId="0" applyNumberFormat="1" applyFont="1" applyBorder="1" applyAlignment="1">
      <alignment/>
    </xf>
    <xf numFmtId="2" fontId="20" fillId="55" borderId="55" xfId="0" applyNumberFormat="1" applyFont="1" applyFill="1" applyBorder="1" applyAlignment="1">
      <alignment/>
    </xf>
    <xf numFmtId="0" fontId="24" fillId="0" borderId="36" xfId="0" applyFont="1" applyBorder="1" applyAlignment="1">
      <alignment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55" xfId="0" applyBorder="1" applyAlignment="1">
      <alignment horizontal="left"/>
    </xf>
    <xf numFmtId="0" fontId="28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2" fontId="29" fillId="0" borderId="36" xfId="0" applyNumberFormat="1" applyFont="1" applyFill="1" applyBorder="1" applyAlignment="1">
      <alignment/>
    </xf>
    <xf numFmtId="0" fontId="28" fillId="0" borderId="54" xfId="0" applyFont="1" applyBorder="1" applyAlignment="1">
      <alignment/>
    </xf>
    <xf numFmtId="0" fontId="28" fillId="0" borderId="67" xfId="0" applyFont="1" applyBorder="1" applyAlignment="1">
      <alignment horizontal="left"/>
    </xf>
    <xf numFmtId="0" fontId="28" fillId="0" borderId="65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69" xfId="0" applyFont="1" applyFill="1" applyBorder="1" applyAlignment="1">
      <alignment/>
    </xf>
    <xf numFmtId="2" fontId="28" fillId="0" borderId="36" xfId="0" applyNumberFormat="1" applyFont="1" applyFill="1" applyBorder="1" applyAlignment="1">
      <alignment/>
    </xf>
    <xf numFmtId="2" fontId="28" fillId="0" borderId="69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54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2" fontId="28" fillId="0" borderId="54" xfId="0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2" fontId="29" fillId="0" borderId="36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20" fillId="0" borderId="60" xfId="0" applyFont="1" applyBorder="1" applyAlignment="1">
      <alignment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20" fillId="0" borderId="29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2" fontId="20" fillId="0" borderId="54" xfId="0" applyNumberFormat="1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5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right"/>
    </xf>
    <xf numFmtId="2" fontId="20" fillId="0" borderId="54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24" fillId="0" borderId="29" xfId="0" applyFont="1" applyBorder="1" applyAlignment="1">
      <alignment/>
    </xf>
    <xf numFmtId="2" fontId="24" fillId="0" borderId="29" xfId="0" applyNumberFormat="1" applyFont="1" applyBorder="1" applyAlignment="1">
      <alignment/>
    </xf>
    <xf numFmtId="0" fontId="18" fillId="0" borderId="71" xfId="0" applyFont="1" applyFill="1" applyBorder="1" applyAlignment="1">
      <alignment horizontal="right"/>
    </xf>
    <xf numFmtId="0" fontId="18" fillId="0" borderId="72" xfId="0" applyFont="1" applyFill="1" applyBorder="1" applyAlignment="1">
      <alignment horizontal="right"/>
    </xf>
    <xf numFmtId="2" fontId="18" fillId="0" borderId="72" xfId="0" applyNumberFormat="1" applyFont="1" applyFill="1" applyBorder="1" applyAlignment="1">
      <alignment horizontal="right"/>
    </xf>
    <xf numFmtId="2" fontId="18" fillId="0" borderId="73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20" fillId="0" borderId="74" xfId="0" applyFont="1" applyFill="1" applyBorder="1" applyAlignment="1">
      <alignment/>
    </xf>
    <xf numFmtId="2" fontId="20" fillId="0" borderId="72" xfId="0" applyNumberFormat="1" applyFont="1" applyFill="1" applyBorder="1" applyAlignment="1">
      <alignment/>
    </xf>
    <xf numFmtId="2" fontId="20" fillId="0" borderId="73" xfId="0" applyNumberFormat="1" applyFont="1" applyFill="1" applyBorder="1" applyAlignment="1">
      <alignment/>
    </xf>
    <xf numFmtId="0" fontId="20" fillId="56" borderId="36" xfId="0" applyFont="1" applyFill="1" applyBorder="1" applyAlignment="1">
      <alignment/>
    </xf>
    <xf numFmtId="2" fontId="20" fillId="56" borderId="36" xfId="0" applyNumberFormat="1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3" fillId="56" borderId="48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18" fillId="56" borderId="48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6" xfId="0" applyFont="1" applyFill="1" applyBorder="1" applyAlignment="1">
      <alignment/>
    </xf>
    <xf numFmtId="0" fontId="23" fillId="56" borderId="36" xfId="0" applyFont="1" applyFill="1" applyBorder="1" applyAlignment="1">
      <alignment/>
    </xf>
    <xf numFmtId="0" fontId="20" fillId="56" borderId="36" xfId="0" applyFont="1" applyFill="1" applyBorder="1" applyAlignment="1">
      <alignment horizontal="center"/>
    </xf>
    <xf numFmtId="0" fontId="18" fillId="56" borderId="29" xfId="0" applyFont="1" applyFill="1" applyBorder="1" applyAlignment="1">
      <alignment horizontal="center"/>
    </xf>
    <xf numFmtId="0" fontId="20" fillId="56" borderId="29" xfId="0" applyFont="1" applyFill="1" applyBorder="1" applyAlignment="1">
      <alignment horizontal="center"/>
    </xf>
    <xf numFmtId="0" fontId="18" fillId="56" borderId="51" xfId="0" applyFont="1" applyFill="1" applyBorder="1" applyAlignment="1">
      <alignment horizontal="center"/>
    </xf>
    <xf numFmtId="0" fontId="20" fillId="56" borderId="30" xfId="0" applyFont="1" applyFill="1" applyBorder="1" applyAlignment="1">
      <alignment/>
    </xf>
    <xf numFmtId="0" fontId="23" fillId="56" borderId="31" xfId="0" applyFont="1" applyFill="1" applyBorder="1" applyAlignment="1">
      <alignment/>
    </xf>
    <xf numFmtId="2" fontId="20" fillId="56" borderId="31" xfId="0" applyNumberFormat="1" applyFont="1" applyFill="1" applyBorder="1" applyAlignment="1">
      <alignment horizontal="center"/>
    </xf>
    <xf numFmtId="0" fontId="20" fillId="56" borderId="31" xfId="0" applyFont="1" applyFill="1" applyBorder="1" applyAlignment="1">
      <alignment horizontal="center"/>
    </xf>
    <xf numFmtId="0" fontId="18" fillId="56" borderId="32" xfId="0" applyFont="1" applyFill="1" applyBorder="1" applyAlignment="1">
      <alignment horizontal="center"/>
    </xf>
    <xf numFmtId="0" fontId="20" fillId="56" borderId="32" xfId="0" applyFont="1" applyFill="1" applyBorder="1" applyAlignment="1">
      <alignment horizontal="center"/>
    </xf>
    <xf numFmtId="0" fontId="18" fillId="56" borderId="53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4" xfId="0" applyFont="1" applyFill="1" applyBorder="1" applyAlignment="1">
      <alignment horizontal="center"/>
    </xf>
    <xf numFmtId="0" fontId="18" fillId="56" borderId="25" xfId="0" applyFont="1" applyFill="1" applyBorder="1" applyAlignment="1">
      <alignment horizontal="center"/>
    </xf>
    <xf numFmtId="0" fontId="20" fillId="56" borderId="25" xfId="0" applyFont="1" applyFill="1" applyBorder="1" applyAlignment="1">
      <alignment horizontal="center"/>
    </xf>
    <xf numFmtId="0" fontId="18" fillId="56" borderId="26" xfId="0" applyFont="1" applyFill="1" applyBorder="1" applyAlignment="1">
      <alignment horizontal="center"/>
    </xf>
    <xf numFmtId="0" fontId="20" fillId="56" borderId="33" xfId="0" applyFont="1" applyFill="1" applyBorder="1" applyAlignment="1">
      <alignment/>
    </xf>
    <xf numFmtId="0" fontId="18" fillId="56" borderId="31" xfId="0" applyFont="1" applyFill="1" applyBorder="1" applyAlignment="1">
      <alignment horizontal="center"/>
    </xf>
    <xf numFmtId="0" fontId="18" fillId="56" borderId="35" xfId="0" applyFont="1" applyFill="1" applyBorder="1" applyAlignment="1">
      <alignment horizontal="center"/>
    </xf>
    <xf numFmtId="0" fontId="20" fillId="56" borderId="69" xfId="0" applyFont="1" applyFill="1" applyBorder="1" applyAlignment="1">
      <alignment/>
    </xf>
    <xf numFmtId="0" fontId="20" fillId="56" borderId="36" xfId="0" applyFont="1" applyFill="1" applyBorder="1" applyAlignment="1">
      <alignment/>
    </xf>
    <xf numFmtId="0" fontId="20" fillId="56" borderId="36" xfId="0" applyFont="1" applyFill="1" applyBorder="1" applyAlignment="1">
      <alignment horizontal="right"/>
    </xf>
    <xf numFmtId="2" fontId="20" fillId="56" borderId="36" xfId="0" applyNumberFormat="1" applyFont="1" applyFill="1" applyBorder="1" applyAlignment="1">
      <alignment/>
    </xf>
    <xf numFmtId="0" fontId="28" fillId="56" borderId="36" xfId="0" applyFont="1" applyFill="1" applyBorder="1" applyAlignment="1">
      <alignment/>
    </xf>
    <xf numFmtId="0" fontId="28" fillId="56" borderId="69" xfId="0" applyFont="1" applyFill="1" applyBorder="1" applyAlignment="1">
      <alignment/>
    </xf>
    <xf numFmtId="2" fontId="28" fillId="56" borderId="36" xfId="0" applyNumberFormat="1" applyFont="1" applyFill="1" applyBorder="1" applyAlignment="1">
      <alignment/>
    </xf>
    <xf numFmtId="2" fontId="29" fillId="56" borderId="36" xfId="0" applyNumberFormat="1" applyFont="1" applyFill="1" applyBorder="1" applyAlignment="1">
      <alignment/>
    </xf>
    <xf numFmtId="2" fontId="0" fillId="56" borderId="36" xfId="0" applyNumberFormat="1" applyFill="1" applyBorder="1" applyAlignment="1">
      <alignment/>
    </xf>
    <xf numFmtId="0" fontId="20" fillId="57" borderId="36" xfId="0" applyFont="1" applyFill="1" applyBorder="1" applyAlignment="1">
      <alignment/>
    </xf>
    <xf numFmtId="0" fontId="20" fillId="57" borderId="36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55" borderId="29" xfId="0" applyFont="1" applyFill="1" applyBorder="1" applyAlignment="1">
      <alignment horizontal="center"/>
    </xf>
    <xf numFmtId="0" fontId="20" fillId="58" borderId="48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Input" xfId="70"/>
    <cellStyle name="Kokku" xfId="71"/>
    <cellStyle name="Comma" xfId="72"/>
    <cellStyle name="Comma [0]" xfId="73"/>
    <cellStyle name="Kontrolli lahtrit" xfId="74"/>
    <cellStyle name="Lingitud lahter" xfId="75"/>
    <cellStyle name="Linked Cell" xfId="76"/>
    <cellStyle name="Märkus" xfId="77"/>
    <cellStyle name="Neutraalne" xfId="78"/>
    <cellStyle name="Neutral" xfId="79"/>
    <cellStyle name="Note" xfId="80"/>
    <cellStyle name="Output" xfId="81"/>
    <cellStyle name="Pealkiri" xfId="82"/>
    <cellStyle name="Pealkiri 1" xfId="83"/>
    <cellStyle name="Pealkiri 2" xfId="84"/>
    <cellStyle name="Pealkiri 3" xfId="85"/>
    <cellStyle name="Pealkiri 4" xfId="86"/>
    <cellStyle name="Percent" xfId="87"/>
    <cellStyle name="Rõhk1" xfId="88"/>
    <cellStyle name="Rõhk2" xfId="89"/>
    <cellStyle name="Rõhk3" xfId="90"/>
    <cellStyle name="Rõhk4" xfId="91"/>
    <cellStyle name="Rõhk5" xfId="92"/>
    <cellStyle name="Rõhk6" xfId="93"/>
    <cellStyle name="Selgitav tekst" xfId="94"/>
    <cellStyle name="Sisestus" xfId="95"/>
    <cellStyle name="Title" xfId="96"/>
    <cellStyle name="Total" xfId="97"/>
    <cellStyle name="Currency" xfId="98"/>
    <cellStyle name="Currency [0]" xfId="99"/>
    <cellStyle name="Warning Text" xfId="100"/>
    <cellStyle name="Väljund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ELANIKKONNALE KOOS ABONENTTASUGA (käibemaksuga)
 seisuga 01.01.2011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1"/>
          <c:w val="0.948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Elanikkonnale!$B$5:$B$39</c:f>
              <c:strCache/>
            </c:strRef>
          </c:cat>
          <c:val>
            <c:numRef>
              <c:f>Elanikkonnale!$C$5:$C$39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Elanikkonnale!$B$5:$B$39</c:f>
              <c:strCache/>
            </c:strRef>
          </c:cat>
          <c:val>
            <c:numRef>
              <c:f>Elanikkonnale!$D$5:$D$39</c:f>
              <c:numCache/>
            </c:numRef>
          </c:val>
        </c:ser>
        <c:overlap val="100"/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At val="0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506"/>
          <c:w val="0.068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ETTEVÕTETELE ABONENTTASUGA (käibemaksuga) 
seisuga 01.01.2011.a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"/>
          <c:w val="0.931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Ettevõtetele!$B$5:$C$38</c:f>
              <c:multiLvlStrCache/>
            </c:multiLvlStrRef>
          </c:cat>
          <c:val>
            <c:numRef>
              <c:f>Ettevõtetele!$D$5:$D$38</c:f>
              <c:numCache/>
            </c:numRef>
          </c:val>
        </c:ser>
        <c:ser>
          <c:idx val="1"/>
          <c:order val="1"/>
          <c:tx>
            <c:strRef>
              <c:f>Ettevõtetele!$E$4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Ettevõtetele!$B$5:$C$38</c:f>
              <c:multiLvlStrCache/>
            </c:multiLvlStrRef>
          </c:cat>
          <c:val>
            <c:numRef>
              <c:f>Ettevõtetele!$E$5:$E$38</c:f>
              <c:numCache/>
            </c:numRef>
          </c:val>
        </c:ser>
        <c:overlap val="100"/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At val="0"/>
        <c:auto val="1"/>
        <c:lblOffset val="100"/>
        <c:tickLblSkip val="2"/>
        <c:noMultiLvlLbl val="0"/>
      </c:catAx>
      <c:valAx>
        <c:axId val="798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5"/>
          <c:y val="0.11475"/>
          <c:w val="0.078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Tulu 1m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veeteenuste müügist 2010. 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5"/>
          <c:w val="0.930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tulu'!$M$2</c:f>
              <c:strCache>
                <c:ptCount val="1"/>
                <c:pt idx="0">
                  <c:v>Elanikk.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tulu'!$L$3:$L$34</c:f>
              <c:strCache/>
            </c:strRef>
          </c:cat>
          <c:val>
            <c:numRef>
              <c:f>'1m3 tulu'!$M$3:$M$34</c:f>
              <c:numCache/>
            </c:numRef>
          </c:val>
        </c:ser>
        <c:ser>
          <c:idx val="1"/>
          <c:order val="1"/>
          <c:tx>
            <c:strRef>
              <c:f>'1m3 tulu'!$N$2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tulu'!$L$3:$L$34</c:f>
              <c:strCache/>
            </c:strRef>
          </c:cat>
          <c:val>
            <c:numRef>
              <c:f>'1m3 tulu'!$N$3:$N$34</c:f>
              <c:numCache/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At val="0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9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09025"/>
          <c:w val="0.100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(vesi+kanal.) koos abonenttasuga (käibemaksuga) seisuga 01.01.2011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30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Graafik!$A$5:$A$37</c:f>
              <c:strCache/>
            </c:strRef>
          </c:cat>
          <c:val>
            <c:numRef>
              <c:f>Graafik!$B$5:$B$37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Graafik!$A$5:$A$37</c:f>
              <c:strCache/>
            </c:strRef>
          </c:cat>
          <c:val>
            <c:numRef>
              <c:f>Graafik!$C$5:$C$37</c:f>
              <c:numCache/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At val="0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93925"/>
          <c:w val="0.10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14</xdr:col>
      <xdr:colOff>114300</xdr:colOff>
      <xdr:row>37</xdr:row>
      <xdr:rowOff>76200</xdr:rowOff>
    </xdr:to>
    <xdr:graphicFrame>
      <xdr:nvGraphicFramePr>
        <xdr:cNvPr id="1" name="Diagramm 1"/>
        <xdr:cNvGraphicFramePr/>
      </xdr:nvGraphicFramePr>
      <xdr:xfrm>
        <a:off x="3238500" y="352425"/>
        <a:ext cx="6038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0.6925</cdr:y>
    </cdr:from>
    <cdr:to>
      <cdr:x>0.11575</cdr:x>
      <cdr:y>0.72875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5052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47625</xdr:rowOff>
    </xdr:from>
    <xdr:to>
      <xdr:col>15</xdr:col>
      <xdr:colOff>590550</xdr:colOff>
      <xdr:row>34</xdr:row>
      <xdr:rowOff>66675</xdr:rowOff>
    </xdr:to>
    <xdr:graphicFrame>
      <xdr:nvGraphicFramePr>
        <xdr:cNvPr id="1" name="Diagramm 1"/>
        <xdr:cNvGraphicFramePr/>
      </xdr:nvGraphicFramePr>
      <xdr:xfrm>
        <a:off x="3228975" y="552450"/>
        <a:ext cx="58864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10</xdr:col>
      <xdr:colOff>628650</xdr:colOff>
      <xdr:row>33</xdr:row>
      <xdr:rowOff>123825</xdr:rowOff>
    </xdr:to>
    <xdr:graphicFrame>
      <xdr:nvGraphicFramePr>
        <xdr:cNvPr id="1" name="Diagramm 1"/>
        <xdr:cNvGraphicFramePr/>
      </xdr:nvGraphicFramePr>
      <xdr:xfrm>
        <a:off x="66675" y="228600"/>
        <a:ext cx="62388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0.74475</cdr:y>
    </cdr:from>
    <cdr:to>
      <cdr:x>0.09125</cdr:x>
      <cdr:y>0.777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25767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0.74475</cdr:y>
    </cdr:from>
    <cdr:to>
      <cdr:x>0.09125</cdr:x>
      <cdr:y>0.777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425767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12</xdr:col>
      <xdr:colOff>438150</xdr:colOff>
      <xdr:row>37</xdr:row>
      <xdr:rowOff>57150</xdr:rowOff>
    </xdr:to>
    <xdr:graphicFrame>
      <xdr:nvGraphicFramePr>
        <xdr:cNvPr id="2" name="Diagramm 2"/>
        <xdr:cNvGraphicFramePr/>
      </xdr:nvGraphicFramePr>
      <xdr:xfrm>
        <a:off x="2390775" y="323850"/>
        <a:ext cx="5876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21.140625" style="1" customWidth="1"/>
    <col min="2" max="2" width="9.140625" style="1" customWidth="1"/>
    <col min="3" max="3" width="8.421875" style="1" customWidth="1"/>
    <col min="4" max="4" width="8.28125" style="1" customWidth="1"/>
    <col min="5" max="5" width="9.140625" style="1" customWidth="1"/>
    <col min="6" max="7" width="8.421875" style="1" customWidth="1"/>
    <col min="8" max="8" width="8.8515625" style="1" customWidth="1"/>
    <col min="9" max="10" width="9.140625" style="1" customWidth="1"/>
    <col min="11" max="11" width="8.7109375" style="1" customWidth="1"/>
    <col min="12" max="12" width="9.00390625" style="1" customWidth="1"/>
    <col min="13" max="13" width="9.28125" style="1" customWidth="1"/>
    <col min="14" max="14" width="8.7109375" style="1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M4" s="1" t="s">
        <v>1</v>
      </c>
      <c r="R4" s="4"/>
    </row>
    <row r="5" spans="1:14" ht="12.75">
      <c r="A5" s="5"/>
      <c r="B5" s="6"/>
      <c r="C5" s="7" t="s">
        <v>2</v>
      </c>
      <c r="D5" s="7" t="s">
        <v>2</v>
      </c>
      <c r="E5" s="7" t="s">
        <v>3</v>
      </c>
      <c r="F5" s="7" t="s">
        <v>3</v>
      </c>
      <c r="G5" s="8" t="s">
        <v>4</v>
      </c>
      <c r="H5" s="8" t="s">
        <v>4</v>
      </c>
      <c r="I5" s="9" t="s">
        <v>5</v>
      </c>
      <c r="J5" s="9" t="s">
        <v>5</v>
      </c>
      <c r="K5" s="7" t="s">
        <v>6</v>
      </c>
      <c r="L5" s="7" t="s">
        <v>6</v>
      </c>
      <c r="M5" s="7" t="s">
        <v>6</v>
      </c>
      <c r="N5" s="10" t="s">
        <v>6</v>
      </c>
    </row>
    <row r="6" spans="1:14" ht="12.75">
      <c r="A6" s="11"/>
      <c r="B6" s="12" t="s">
        <v>7</v>
      </c>
      <c r="C6" s="13"/>
      <c r="D6" s="13"/>
      <c r="E6" s="13" t="s">
        <v>8</v>
      </c>
      <c r="F6" s="13" t="s">
        <v>8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10</v>
      </c>
      <c r="L6" s="13" t="s">
        <v>10</v>
      </c>
      <c r="M6" s="13" t="s">
        <v>10</v>
      </c>
      <c r="N6" s="14" t="s">
        <v>10</v>
      </c>
    </row>
    <row r="7" spans="1:14" ht="12.75">
      <c r="A7" s="15" t="s">
        <v>11</v>
      </c>
      <c r="B7" s="12" t="s">
        <v>12</v>
      </c>
      <c r="C7" s="13"/>
      <c r="D7" s="13"/>
      <c r="E7" s="13"/>
      <c r="F7" s="13"/>
      <c r="G7" s="13" t="s">
        <v>13</v>
      </c>
      <c r="H7" s="13" t="s">
        <v>13</v>
      </c>
      <c r="I7" s="13" t="s">
        <v>13</v>
      </c>
      <c r="J7" s="13" t="s">
        <v>13</v>
      </c>
      <c r="K7" s="13" t="s">
        <v>14</v>
      </c>
      <c r="L7" s="13" t="s">
        <v>14</v>
      </c>
      <c r="M7" s="13" t="s">
        <v>14</v>
      </c>
      <c r="N7" s="14" t="s">
        <v>14</v>
      </c>
    </row>
    <row r="8" spans="1:14" ht="12.75">
      <c r="A8" s="11"/>
      <c r="B8" s="16"/>
      <c r="C8" s="13" t="s">
        <v>15</v>
      </c>
      <c r="D8" s="13" t="s">
        <v>15</v>
      </c>
      <c r="E8" s="13" t="s">
        <v>15</v>
      </c>
      <c r="F8" s="13" t="s">
        <v>15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17</v>
      </c>
      <c r="L8" s="13" t="s">
        <v>18</v>
      </c>
      <c r="M8" s="13" t="s">
        <v>19</v>
      </c>
      <c r="N8" s="14" t="s">
        <v>18</v>
      </c>
    </row>
    <row r="9" spans="1:14" ht="12.75">
      <c r="A9" s="17"/>
      <c r="B9" s="18"/>
      <c r="C9" s="19"/>
      <c r="D9" s="19"/>
      <c r="E9" s="19"/>
      <c r="F9" s="19"/>
      <c r="G9" s="19" t="s">
        <v>20</v>
      </c>
      <c r="H9" s="19" t="s">
        <v>20</v>
      </c>
      <c r="I9" s="19" t="s">
        <v>20</v>
      </c>
      <c r="J9" s="19" t="s">
        <v>20</v>
      </c>
      <c r="K9" s="20" t="s">
        <v>21</v>
      </c>
      <c r="L9" s="20" t="s">
        <v>21</v>
      </c>
      <c r="M9" s="20" t="s">
        <v>21</v>
      </c>
      <c r="N9" s="21" t="s">
        <v>21</v>
      </c>
    </row>
    <row r="10" spans="1:14" ht="12.75">
      <c r="A10" s="22"/>
      <c r="B10" s="23"/>
      <c r="C10" s="24" t="s">
        <v>22</v>
      </c>
      <c r="D10" s="24" t="s">
        <v>23</v>
      </c>
      <c r="E10" s="24" t="s">
        <v>22</v>
      </c>
      <c r="F10" s="24" t="s">
        <v>23</v>
      </c>
      <c r="G10" s="24" t="s">
        <v>22</v>
      </c>
      <c r="H10" s="23" t="s">
        <v>23</v>
      </c>
      <c r="I10" s="23" t="s">
        <v>22</v>
      </c>
      <c r="J10" s="25" t="s">
        <v>23</v>
      </c>
      <c r="K10" s="23" t="s">
        <v>22</v>
      </c>
      <c r="L10" s="23" t="s">
        <v>22</v>
      </c>
      <c r="M10" s="26" t="s">
        <v>23</v>
      </c>
      <c r="N10" s="27" t="s">
        <v>23</v>
      </c>
    </row>
    <row r="11" spans="1:14" ht="12.75">
      <c r="A11" s="28" t="s">
        <v>24</v>
      </c>
      <c r="B11" s="28" t="s">
        <v>25</v>
      </c>
      <c r="C11" s="79">
        <v>393.6</v>
      </c>
      <c r="D11" s="79">
        <v>159.1</v>
      </c>
      <c r="E11" s="79">
        <v>369.6</v>
      </c>
      <c r="F11" s="79">
        <v>155.2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</row>
    <row r="12" spans="1:14" ht="12.75">
      <c r="A12" s="30" t="s">
        <v>26</v>
      </c>
      <c r="B12" s="30" t="s">
        <v>27</v>
      </c>
      <c r="C12" s="33">
        <v>47.9</v>
      </c>
      <c r="D12" s="33">
        <v>16.7</v>
      </c>
      <c r="E12" s="33">
        <v>46.7</v>
      </c>
      <c r="F12" s="33">
        <v>15.6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t="12.75">
      <c r="A13" s="30" t="s">
        <v>28</v>
      </c>
      <c r="B13" s="30"/>
      <c r="C13" s="33">
        <v>301</v>
      </c>
      <c r="D13" s="33">
        <v>0</v>
      </c>
      <c r="E13" s="33">
        <v>222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t="12.75">
      <c r="A14" s="30" t="s">
        <v>232</v>
      </c>
      <c r="B14" s="30"/>
      <c r="C14" s="33">
        <v>94.17</v>
      </c>
      <c r="D14" s="33">
        <v>0</v>
      </c>
      <c r="E14" s="33">
        <v>87.7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t="12.75">
      <c r="A15" s="30" t="s">
        <v>29</v>
      </c>
      <c r="B15" s="30" t="s">
        <v>30</v>
      </c>
      <c r="C15" s="33">
        <v>70</v>
      </c>
      <c r="D15" s="33">
        <v>38.2</v>
      </c>
      <c r="E15" s="33">
        <v>68.4</v>
      </c>
      <c r="F15" s="33">
        <v>42.4</v>
      </c>
      <c r="G15" s="33">
        <v>50.5</v>
      </c>
      <c r="H15" s="33">
        <v>16.8</v>
      </c>
      <c r="I15" s="33">
        <v>50.3</v>
      </c>
      <c r="J15" s="33">
        <v>16.3</v>
      </c>
      <c r="K15" s="33">
        <f>SUM(G15/C15/15.6466*1.2)</f>
        <v>0.055329227162085416</v>
      </c>
      <c r="L15" s="33">
        <f>(I15/E15)/15.6466*1.2</f>
        <v>0.05639922669147784</v>
      </c>
      <c r="M15" s="33">
        <f>(H15/D15)/15.6466*1.2</f>
        <v>0.03372928886144443</v>
      </c>
      <c r="N15" s="33">
        <f>(J15/F15)/15.6466*1.2</f>
        <v>0.029483769938324057</v>
      </c>
    </row>
    <row r="16" spans="1:14" ht="12.75">
      <c r="A16" s="30" t="s">
        <v>31</v>
      </c>
      <c r="B16" s="32" t="s">
        <v>32</v>
      </c>
      <c r="C16" s="33">
        <v>26</v>
      </c>
      <c r="D16" s="33">
        <v>5</v>
      </c>
      <c r="E16" s="33">
        <v>27</v>
      </c>
      <c r="F16" s="33">
        <v>14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t="12.75">
      <c r="A17" s="30" t="s">
        <v>33</v>
      </c>
      <c r="B17" s="32" t="s">
        <v>34</v>
      </c>
      <c r="C17" s="33">
        <v>1369</v>
      </c>
      <c r="D17" s="33">
        <v>420</v>
      </c>
      <c r="E17" s="33">
        <v>1305</v>
      </c>
      <c r="F17" s="33">
        <v>166</v>
      </c>
      <c r="G17" s="33">
        <v>96</v>
      </c>
      <c r="H17" s="33">
        <v>12</v>
      </c>
      <c r="I17" s="33">
        <v>0</v>
      </c>
      <c r="J17" s="33">
        <v>0</v>
      </c>
      <c r="K17" s="33">
        <f>G17/C17/15.6466*1.2</f>
        <v>0.005378102199758645</v>
      </c>
      <c r="L17" s="33">
        <v>0</v>
      </c>
      <c r="M17" s="33">
        <f>H17/D17/15.6466*1.2</f>
        <v>0.0021912565212707097</v>
      </c>
      <c r="N17" s="33">
        <v>0</v>
      </c>
    </row>
    <row r="18" spans="1:14" ht="12.75">
      <c r="A18" s="30" t="s">
        <v>35</v>
      </c>
      <c r="B18" s="30" t="s">
        <v>36</v>
      </c>
      <c r="C18" s="33">
        <v>37.8</v>
      </c>
      <c r="D18" s="33">
        <v>14.3</v>
      </c>
      <c r="E18" s="33">
        <v>37.8</v>
      </c>
      <c r="F18" s="33">
        <v>6.9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12.75">
      <c r="A19" s="30" t="s">
        <v>37</v>
      </c>
      <c r="B19" s="30" t="s">
        <v>38</v>
      </c>
      <c r="C19" s="33">
        <v>271</v>
      </c>
      <c r="D19" s="33">
        <v>60</v>
      </c>
      <c r="E19" s="33">
        <v>254</v>
      </c>
      <c r="F19" s="33">
        <v>106</v>
      </c>
      <c r="G19" s="33">
        <v>485</v>
      </c>
      <c r="H19" s="33">
        <v>91</v>
      </c>
      <c r="I19" s="33">
        <v>498</v>
      </c>
      <c r="J19" s="33">
        <v>107</v>
      </c>
      <c r="K19" s="33">
        <f>G19/C19/15.6466*1.2</f>
        <v>0.13725675073273172</v>
      </c>
      <c r="L19" s="33">
        <f>I19/E19/15.6466*1.2</f>
        <v>0.1503685085265688</v>
      </c>
      <c r="M19" s="33">
        <f>H19/D19/15.6466*1.2</f>
        <v>0.1163192003374535</v>
      </c>
      <c r="N19" s="33">
        <f>J19/F19/15.6466*1.2</f>
        <v>0.07741750634112084</v>
      </c>
    </row>
    <row r="20" spans="1:14" ht="12.75">
      <c r="A20" s="30" t="s">
        <v>39</v>
      </c>
      <c r="B20" s="30" t="s">
        <v>40</v>
      </c>
      <c r="C20" s="33">
        <v>205</v>
      </c>
      <c r="D20" s="33">
        <v>38</v>
      </c>
      <c r="E20" s="33">
        <v>160</v>
      </c>
      <c r="F20" s="33">
        <v>28</v>
      </c>
      <c r="G20" s="33">
        <v>175</v>
      </c>
      <c r="H20" s="33">
        <v>18</v>
      </c>
      <c r="I20" s="33">
        <v>125</v>
      </c>
      <c r="J20" s="33">
        <v>13</v>
      </c>
      <c r="K20" s="33">
        <f>G20/C20/15.6466*1.2</f>
        <v>0.06547046923308827</v>
      </c>
      <c r="L20" s="33">
        <f>I20/E20/15.6466*1.2</f>
        <v>0.05991717050349597</v>
      </c>
      <c r="M20" s="33">
        <f>H20/D20/15.6466*1.2</f>
        <v>0.0363287265368565</v>
      </c>
      <c r="N20" s="33">
        <f>J20/F20/15.6466*1.2</f>
        <v>0.03560791847064903</v>
      </c>
    </row>
    <row r="21" spans="1:14" ht="12.75">
      <c r="A21" s="30" t="s">
        <v>41</v>
      </c>
      <c r="B21" s="30" t="s">
        <v>42</v>
      </c>
      <c r="C21" s="33">
        <v>87</v>
      </c>
      <c r="D21" s="33">
        <v>51</v>
      </c>
      <c r="E21" s="33">
        <v>64</v>
      </c>
      <c r="F21" s="33">
        <v>48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ht="12.75">
      <c r="A22" s="30" t="s">
        <v>43</v>
      </c>
      <c r="B22" s="30" t="s">
        <v>44</v>
      </c>
      <c r="C22" s="33">
        <v>83</v>
      </c>
      <c r="D22" s="33">
        <v>34</v>
      </c>
      <c r="E22" s="33">
        <v>76</v>
      </c>
      <c r="F22" s="33">
        <v>32</v>
      </c>
      <c r="G22" s="33">
        <v>135</v>
      </c>
      <c r="H22" s="33">
        <v>55</v>
      </c>
      <c r="I22" s="33">
        <v>178</v>
      </c>
      <c r="J22" s="33">
        <v>75</v>
      </c>
      <c r="K22" s="33">
        <f>G22/C22/15.6466*1.2</f>
        <v>0.12474321762655546</v>
      </c>
      <c r="L22" s="33">
        <f>I22/E22/15.6466*1.2</f>
        <v>0.1796253700989016</v>
      </c>
      <c r="M22" s="33">
        <f>H22/D22/15.6466*1.2</f>
        <v>0.12406378833665048</v>
      </c>
      <c r="N22" s="33">
        <f>J22/F22/15.6466*1.2</f>
        <v>0.17975151151048788</v>
      </c>
    </row>
    <row r="23" spans="1:14" ht="12.75">
      <c r="A23" s="30" t="s">
        <v>45</v>
      </c>
      <c r="B23" s="30" t="s">
        <v>46</v>
      </c>
      <c r="C23" s="33">
        <v>394.38</v>
      </c>
      <c r="D23" s="33">
        <v>285.35</v>
      </c>
      <c r="E23" s="33">
        <v>392.72</v>
      </c>
      <c r="F23" s="33">
        <v>346.57</v>
      </c>
      <c r="G23" s="33">
        <v>392.91</v>
      </c>
      <c r="H23" s="33">
        <v>153.41</v>
      </c>
      <c r="I23" s="33">
        <v>384.17</v>
      </c>
      <c r="J23" s="33">
        <v>149.69</v>
      </c>
      <c r="K23" s="33">
        <f>G23/C23/15.6466*1.2</f>
        <v>0.07640811144590652</v>
      </c>
      <c r="L23" s="33">
        <f>I23/E23/15.6466*1.2</f>
        <v>0.07502425550565263</v>
      </c>
      <c r="M23" s="33">
        <v>0.04</v>
      </c>
      <c r="N23" s="33">
        <v>0.03</v>
      </c>
    </row>
    <row r="24" spans="1:14" ht="12.75">
      <c r="A24" s="30" t="s">
        <v>47</v>
      </c>
      <c r="B24" s="30" t="s">
        <v>48</v>
      </c>
      <c r="C24" s="33">
        <v>95.3</v>
      </c>
      <c r="D24" s="33">
        <v>49.9</v>
      </c>
      <c r="E24" s="33">
        <v>89.2</v>
      </c>
      <c r="F24" s="33">
        <v>38.5</v>
      </c>
      <c r="G24" s="33">
        <v>224.5</v>
      </c>
      <c r="H24" s="33">
        <v>108</v>
      </c>
      <c r="I24" s="33">
        <v>225.5</v>
      </c>
      <c r="J24" s="33">
        <v>107.5</v>
      </c>
      <c r="K24" s="33">
        <f>G24/C24/15.6466*1.2</f>
        <v>0.18066944507748794</v>
      </c>
      <c r="L24" s="33">
        <f>I24/E24/15.6466*1.2</f>
        <v>0.19388444051714213</v>
      </c>
      <c r="M24" s="33">
        <f>H24/D24/15.6466*1.2</f>
        <v>0.16599097495798162</v>
      </c>
      <c r="N24" s="33">
        <f>SUM(J24/F24/15.6466*1.2)</f>
        <v>0.21414552366963754</v>
      </c>
    </row>
    <row r="25" spans="1:14" ht="12.75">
      <c r="A25" s="30" t="s">
        <v>49</v>
      </c>
      <c r="B25" s="30"/>
      <c r="C25" s="33">
        <v>63</v>
      </c>
      <c r="D25" s="33">
        <v>25</v>
      </c>
      <c r="E25" s="33">
        <v>54</v>
      </c>
      <c r="F25" s="33">
        <v>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t="12.75">
      <c r="A26" s="30" t="s">
        <v>50</v>
      </c>
      <c r="B26" s="30"/>
      <c r="C26" s="33">
        <v>209.3</v>
      </c>
      <c r="D26" s="33">
        <v>40.7</v>
      </c>
      <c r="E26" s="33">
        <v>167.7</v>
      </c>
      <c r="F26" s="33">
        <v>40.3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2.75">
      <c r="A27" s="30" t="s">
        <v>51</v>
      </c>
      <c r="B27" s="30" t="s">
        <v>52</v>
      </c>
      <c r="C27" s="33">
        <v>70.5</v>
      </c>
      <c r="D27" s="33">
        <v>23.6</v>
      </c>
      <c r="E27" s="33">
        <v>78.8</v>
      </c>
      <c r="F27" s="33">
        <v>244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ht="12.75">
      <c r="A28" s="30" t="s">
        <v>53</v>
      </c>
      <c r="B28" s="30" t="s">
        <v>54</v>
      </c>
      <c r="C28" s="33">
        <v>207.7</v>
      </c>
      <c r="D28" s="33">
        <v>128.3</v>
      </c>
      <c r="E28" s="33">
        <v>208.2</v>
      </c>
      <c r="F28" s="33">
        <v>178.6</v>
      </c>
      <c r="G28" s="33">
        <v>406.6</v>
      </c>
      <c r="H28" s="33">
        <v>318.6</v>
      </c>
      <c r="I28" s="33">
        <v>398.6</v>
      </c>
      <c r="J28" s="33">
        <v>319.8</v>
      </c>
      <c r="K28" s="33">
        <f>SUM(G28/C28/15.6466*1.2)</f>
        <v>0.15013852457488433</v>
      </c>
      <c r="L28" s="33">
        <f>SUM(I28/E28/15.6466*1.2)</f>
        <v>0.14683102655258248</v>
      </c>
      <c r="M28" s="33">
        <f>SUM(H28/D28/15.6466*1.2)</f>
        <v>0.19044973864917916</v>
      </c>
      <c r="N28" s="33">
        <f>SUM(J28/F28/15.6466*1.2)</f>
        <v>0.1373277393201739</v>
      </c>
    </row>
    <row r="29" spans="1:14" ht="12.75">
      <c r="A29" s="30" t="s">
        <v>55</v>
      </c>
      <c r="B29" s="30" t="s">
        <v>56</v>
      </c>
      <c r="C29" s="33">
        <v>137</v>
      </c>
      <c r="D29" s="33">
        <v>65</v>
      </c>
      <c r="E29" s="33">
        <v>137</v>
      </c>
      <c r="F29" s="33">
        <v>53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ht="12.75">
      <c r="A30" s="242" t="s">
        <v>57</v>
      </c>
      <c r="B30" s="242" t="s">
        <v>58</v>
      </c>
      <c r="C30" s="243">
        <v>179.5</v>
      </c>
      <c r="D30" s="243">
        <v>57.4</v>
      </c>
      <c r="E30" s="243">
        <v>166.2</v>
      </c>
      <c r="F30" s="243">
        <v>412.9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</row>
    <row r="31" spans="1:14" ht="12.75">
      <c r="A31" s="30" t="s">
        <v>59</v>
      </c>
      <c r="B31" s="30" t="s">
        <v>60</v>
      </c>
      <c r="C31" s="33">
        <v>1236.8</v>
      </c>
      <c r="D31" s="33">
        <v>907.9</v>
      </c>
      <c r="E31" s="33">
        <v>1180.8</v>
      </c>
      <c r="F31" s="33">
        <v>1018.4</v>
      </c>
      <c r="G31" s="33">
        <v>39.4</v>
      </c>
      <c r="H31" s="33">
        <v>2.8</v>
      </c>
      <c r="I31" s="33">
        <v>36.9</v>
      </c>
      <c r="J31" s="33">
        <v>2.9</v>
      </c>
      <c r="K31" s="33">
        <f>G31/C31/15.6466*1.2</f>
        <v>0.0024431943263521255</v>
      </c>
      <c r="L31" s="33">
        <f>SUM(I31/E31/15.6466*1.2)</f>
        <v>0.0023966868201398387</v>
      </c>
      <c r="M31" s="33">
        <f>H31/D31/15.6466*1.2</f>
        <v>0.00023652730376090927</v>
      </c>
      <c r="N31" s="33">
        <f>J31/F31/15.6466*1.2</f>
        <v>0.00021839408573151714</v>
      </c>
    </row>
    <row r="32" spans="1:14" ht="12.75">
      <c r="A32" s="30" t="s">
        <v>61</v>
      </c>
      <c r="B32" s="30" t="s">
        <v>62</v>
      </c>
      <c r="C32" s="33">
        <v>416</v>
      </c>
      <c r="D32" s="33">
        <v>170</v>
      </c>
      <c r="E32" s="33">
        <v>416</v>
      </c>
      <c r="F32" s="33">
        <v>983</v>
      </c>
      <c r="G32" s="33">
        <v>0</v>
      </c>
      <c r="H32" s="33">
        <v>0</v>
      </c>
      <c r="I32" s="33">
        <v>0</v>
      </c>
      <c r="J32" s="33">
        <v>0</v>
      </c>
      <c r="K32" s="33">
        <f>(G32/C32/15.6466*1.2)</f>
        <v>0</v>
      </c>
      <c r="L32" s="33">
        <f>(I32/E32/15.6466*1.2)</f>
        <v>0</v>
      </c>
      <c r="M32" s="33">
        <f>(H32/D32)/15.6466*1.2</f>
        <v>0</v>
      </c>
      <c r="N32" s="33">
        <f>(J32/F32)/15.6466*1.2</f>
        <v>0</v>
      </c>
    </row>
    <row r="33" spans="1:14" ht="12.75">
      <c r="A33" s="30" t="s">
        <v>63</v>
      </c>
      <c r="B33" s="30" t="s">
        <v>64</v>
      </c>
      <c r="C33" s="33">
        <v>170</v>
      </c>
      <c r="D33" s="33">
        <v>91</v>
      </c>
      <c r="E33" s="33">
        <v>158</v>
      </c>
      <c r="F33" s="33">
        <v>95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ht="12.75">
      <c r="A34" s="30" t="s">
        <v>65</v>
      </c>
      <c r="B34" s="30" t="s">
        <v>66</v>
      </c>
      <c r="C34" s="33">
        <v>616.5</v>
      </c>
      <c r="D34" s="33">
        <v>65.2</v>
      </c>
      <c r="E34" s="33">
        <v>616</v>
      </c>
      <c r="F34" s="33">
        <v>195.1</v>
      </c>
      <c r="G34" s="33">
        <v>95.5</v>
      </c>
      <c r="H34" s="33">
        <v>122</v>
      </c>
      <c r="I34" s="33">
        <v>95.5</v>
      </c>
      <c r="J34" s="33">
        <v>122</v>
      </c>
      <c r="K34" s="33">
        <f>G34/C34/15.6466*1.2</f>
        <v>0.011880413499346872</v>
      </c>
      <c r="L34" s="33">
        <f>I34/E34/15.6466*1.2</f>
        <v>0.011890056692122316</v>
      </c>
      <c r="M34" s="33">
        <f>H34/D34/15.6466*1.2</f>
        <v>0.14350713720591918</v>
      </c>
      <c r="N34" s="33">
        <f>J34/F34/15.6466*1.2</f>
        <v>0.04795830520669365</v>
      </c>
    </row>
    <row r="35" spans="1:14" ht="12.75">
      <c r="A35" s="30" t="s">
        <v>67</v>
      </c>
      <c r="B35" s="30" t="s">
        <v>68</v>
      </c>
      <c r="C35" s="33">
        <v>189</v>
      </c>
      <c r="D35" s="33">
        <v>28</v>
      </c>
      <c r="E35" s="33">
        <v>178</v>
      </c>
      <c r="F35" s="33">
        <v>30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t="12.75">
      <c r="A36" s="30" t="s">
        <v>69</v>
      </c>
      <c r="B36" s="30" t="s">
        <v>231</v>
      </c>
      <c r="C36" s="33">
        <v>132</v>
      </c>
      <c r="D36" s="33">
        <v>106</v>
      </c>
      <c r="E36" s="33">
        <v>88</v>
      </c>
      <c r="F36" s="33">
        <v>201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2.75">
      <c r="A37" s="30" t="s">
        <v>70</v>
      </c>
      <c r="B37" s="30" t="s">
        <v>71</v>
      </c>
      <c r="C37" s="33">
        <v>13800.974</v>
      </c>
      <c r="D37" s="33">
        <v>4877.131</v>
      </c>
      <c r="E37" s="33">
        <v>13615.656</v>
      </c>
      <c r="F37" s="33">
        <v>8651.249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</row>
    <row r="38" spans="1:14" ht="12.75">
      <c r="A38" s="30" t="s">
        <v>72</v>
      </c>
      <c r="B38" s="30" t="s">
        <v>73</v>
      </c>
      <c r="C38" s="33">
        <v>134</v>
      </c>
      <c r="D38" s="33">
        <v>65</v>
      </c>
      <c r="E38" s="33">
        <v>114</v>
      </c>
      <c r="F38" s="33">
        <v>64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t="12.75">
      <c r="A39" s="30" t="s">
        <v>74</v>
      </c>
      <c r="B39" s="30" t="s">
        <v>75</v>
      </c>
      <c r="C39" s="33">
        <v>2807</v>
      </c>
      <c r="D39" s="33">
        <v>1312</v>
      </c>
      <c r="E39" s="33">
        <v>2794</v>
      </c>
      <c r="F39" s="33">
        <v>1774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t="12.75">
      <c r="A40" s="30" t="s">
        <v>76</v>
      </c>
      <c r="B40" s="30" t="s">
        <v>77</v>
      </c>
      <c r="C40" s="33">
        <v>39.094</v>
      </c>
      <c r="D40" s="33">
        <v>10.691</v>
      </c>
      <c r="E40" s="33">
        <v>36.4</v>
      </c>
      <c r="F40" s="33">
        <v>11.2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t="12.75">
      <c r="A41" s="30" t="s">
        <v>78</v>
      </c>
      <c r="B41" s="30" t="s">
        <v>79</v>
      </c>
      <c r="C41" s="33">
        <v>145</v>
      </c>
      <c r="D41" s="33">
        <v>53</v>
      </c>
      <c r="E41" s="33">
        <v>155</v>
      </c>
      <c r="F41" s="33">
        <v>55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</row>
    <row r="42" spans="1:14" ht="12.75">
      <c r="A42" s="30" t="s">
        <v>80</v>
      </c>
      <c r="B42" s="30" t="s">
        <v>81</v>
      </c>
      <c r="C42" s="33">
        <v>265.6</v>
      </c>
      <c r="D42" s="33">
        <v>91.9</v>
      </c>
      <c r="E42" s="33">
        <v>260.6</v>
      </c>
      <c r="F42" s="33">
        <v>105.4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</row>
    <row r="43" spans="1:14" ht="12.75">
      <c r="A43" s="30" t="s">
        <v>82</v>
      </c>
      <c r="B43" s="30" t="s">
        <v>83</v>
      </c>
      <c r="C43" s="33">
        <v>467</v>
      </c>
      <c r="D43" s="33">
        <v>157</v>
      </c>
      <c r="E43" s="33">
        <v>473</v>
      </c>
      <c r="F43" s="33">
        <v>326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  <row r="44" spans="1:14" ht="12.75">
      <c r="A44" s="30" t="s">
        <v>84</v>
      </c>
      <c r="B44" s="30" t="s">
        <v>85</v>
      </c>
      <c r="C44" s="33">
        <v>47.7</v>
      </c>
      <c r="D44" s="33">
        <v>13.5</v>
      </c>
      <c r="E44" s="33">
        <v>43.2</v>
      </c>
      <c r="F44" s="33">
        <v>18.1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</row>
    <row r="45" spans="1:14" ht="12.75">
      <c r="A45" s="3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7" spans="13:14" ht="12.75">
      <c r="M47" s="36"/>
      <c r="N47" s="36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7109375" style="0" customWidth="1"/>
    <col min="2" max="2" width="16.00390625" style="37" customWidth="1"/>
    <col min="3" max="3" width="8.8515625" style="0" customWidth="1"/>
    <col min="4" max="4" width="8.28125" style="0" customWidth="1"/>
    <col min="8" max="8" width="8.57421875" style="0" customWidth="1"/>
    <col min="9" max="11" width="0" style="0" hidden="1" customWidth="1"/>
  </cols>
  <sheetData>
    <row r="2" spans="1:11" ht="12.75">
      <c r="A2" s="281" t="s">
        <v>86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>
      <c r="A3" s="282" t="s">
        <v>87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2.75">
      <c r="A4" s="38"/>
      <c r="B4" s="39"/>
      <c r="C4" s="283" t="s">
        <v>88</v>
      </c>
      <c r="D4" s="283"/>
      <c r="E4" s="283"/>
      <c r="F4" s="40" t="s">
        <v>89</v>
      </c>
      <c r="G4" s="41" t="s">
        <v>90</v>
      </c>
      <c r="H4" s="10" t="s">
        <v>91</v>
      </c>
      <c r="I4" s="42" t="s">
        <v>92</v>
      </c>
      <c r="J4" s="43" t="s">
        <v>93</v>
      </c>
      <c r="K4" s="35" t="s">
        <v>94</v>
      </c>
    </row>
    <row r="5" spans="1:11" ht="12.75">
      <c r="A5" s="44"/>
      <c r="B5" s="45" t="s">
        <v>95</v>
      </c>
      <c r="C5" s="46"/>
      <c r="D5" s="47"/>
      <c r="E5" s="48"/>
      <c r="F5" s="49" t="s">
        <v>96</v>
      </c>
      <c r="G5" s="50" t="s">
        <v>96</v>
      </c>
      <c r="H5" s="21" t="s">
        <v>13</v>
      </c>
      <c r="I5" s="51"/>
      <c r="J5" s="52"/>
      <c r="K5" s="53" t="s">
        <v>97</v>
      </c>
    </row>
    <row r="6" spans="1:19" ht="12.75">
      <c r="A6" s="54" t="s">
        <v>11</v>
      </c>
      <c r="B6" s="45" t="s">
        <v>12</v>
      </c>
      <c r="C6" s="44" t="s">
        <v>92</v>
      </c>
      <c r="D6" s="44" t="s">
        <v>98</v>
      </c>
      <c r="E6" s="54" t="s">
        <v>99</v>
      </c>
      <c r="F6" s="55" t="s">
        <v>100</v>
      </c>
      <c r="G6" s="56" t="s">
        <v>100</v>
      </c>
      <c r="H6" s="21" t="s">
        <v>101</v>
      </c>
      <c r="I6" s="51"/>
      <c r="J6" s="52"/>
      <c r="K6" s="53" t="s">
        <v>102</v>
      </c>
      <c r="S6" s="1"/>
    </row>
    <row r="7" spans="1:11" ht="12.75">
      <c r="A7" s="44"/>
      <c r="B7" s="57"/>
      <c r="C7" s="54" t="s">
        <v>103</v>
      </c>
      <c r="D7" s="54" t="s">
        <v>103</v>
      </c>
      <c r="E7" s="54" t="s">
        <v>103</v>
      </c>
      <c r="F7" s="50" t="s">
        <v>103</v>
      </c>
      <c r="G7" s="12" t="s">
        <v>103</v>
      </c>
      <c r="H7" s="14" t="s">
        <v>103</v>
      </c>
      <c r="I7" s="42" t="s">
        <v>104</v>
      </c>
      <c r="J7" s="42" t="s">
        <v>104</v>
      </c>
      <c r="K7" s="42" t="s">
        <v>104</v>
      </c>
    </row>
    <row r="8" spans="1:11" ht="12.75">
      <c r="A8" s="58" t="s">
        <v>24</v>
      </c>
      <c r="B8" s="59" t="s">
        <v>105</v>
      </c>
      <c r="C8" s="60"/>
      <c r="D8" s="60"/>
      <c r="E8" s="61"/>
      <c r="F8" s="60"/>
      <c r="G8" s="60"/>
      <c r="H8" s="62"/>
      <c r="I8" s="63">
        <f>6.61*1.18</f>
        <v>7.7998</v>
      </c>
      <c r="J8" s="64">
        <f>14.11*1.18</f>
        <v>16.6498</v>
      </c>
      <c r="K8" s="64">
        <f>I8+J8</f>
        <v>24.4496</v>
      </c>
    </row>
    <row r="9" spans="1:11" ht="12.75">
      <c r="A9" s="65"/>
      <c r="B9" s="66" t="s">
        <v>106</v>
      </c>
      <c r="C9" s="29">
        <v>0.51</v>
      </c>
      <c r="D9" s="29">
        <v>1.39</v>
      </c>
      <c r="E9" s="67">
        <f>C9+D9</f>
        <v>1.9</v>
      </c>
      <c r="F9" s="29">
        <v>0.51</v>
      </c>
      <c r="G9" s="29">
        <v>1.39</v>
      </c>
      <c r="H9" s="68">
        <f aca="true" t="shared" si="0" ref="H9:H16">SUM(F9:G9)</f>
        <v>1.9</v>
      </c>
      <c r="I9" s="63"/>
      <c r="J9" s="64"/>
      <c r="K9" s="64"/>
    </row>
    <row r="10" spans="1:11" ht="12.75">
      <c r="A10" s="69"/>
      <c r="B10" s="70" t="s">
        <v>107</v>
      </c>
      <c r="C10" s="29">
        <v>0.81</v>
      </c>
      <c r="D10" s="29">
        <v>0.81</v>
      </c>
      <c r="E10" s="67">
        <f>SUM(C10:D10)</f>
        <v>1.62</v>
      </c>
      <c r="F10" s="29">
        <v>0.81</v>
      </c>
      <c r="G10" s="29">
        <v>0.81</v>
      </c>
      <c r="H10" s="68">
        <f t="shared" si="0"/>
        <v>1.62</v>
      </c>
      <c r="I10" s="63"/>
      <c r="J10" s="64"/>
      <c r="K10" s="64"/>
    </row>
    <row r="11" spans="1:11" ht="12.75">
      <c r="A11" s="69"/>
      <c r="B11" s="70" t="s">
        <v>108</v>
      </c>
      <c r="C11" s="29">
        <v>0.69</v>
      </c>
      <c r="D11" s="29">
        <v>0.81</v>
      </c>
      <c r="E11" s="67">
        <f>C11+D11</f>
        <v>1.5</v>
      </c>
      <c r="F11" s="29">
        <v>0.69</v>
      </c>
      <c r="G11" s="29">
        <v>0.81</v>
      </c>
      <c r="H11" s="68">
        <f t="shared" si="0"/>
        <v>1.5</v>
      </c>
      <c r="I11" s="63"/>
      <c r="J11" s="64"/>
      <c r="K11" s="64"/>
    </row>
    <row r="12" spans="1:11" ht="12.75">
      <c r="A12" s="69"/>
      <c r="B12" s="70" t="s">
        <v>109</v>
      </c>
      <c r="C12" s="29">
        <v>0.74</v>
      </c>
      <c r="D12" s="29">
        <v>0.87</v>
      </c>
      <c r="E12" s="67">
        <f>SUM(C12:D12)</f>
        <v>1.6099999999999999</v>
      </c>
      <c r="F12" s="29">
        <v>0.74</v>
      </c>
      <c r="G12" s="29">
        <v>0.87</v>
      </c>
      <c r="H12" s="68">
        <f t="shared" si="0"/>
        <v>1.6099999999999999</v>
      </c>
      <c r="I12" s="63"/>
      <c r="J12" s="64"/>
      <c r="K12" s="64"/>
    </row>
    <row r="13" spans="1:11" ht="12.75">
      <c r="A13" s="69"/>
      <c r="B13" s="70" t="s">
        <v>110</v>
      </c>
      <c r="C13" s="29">
        <v>0.78</v>
      </c>
      <c r="D13" s="29">
        <v>1.1</v>
      </c>
      <c r="E13" s="67">
        <f>SUM(C13:D13)</f>
        <v>1.8800000000000001</v>
      </c>
      <c r="F13" s="29">
        <v>0.78</v>
      </c>
      <c r="G13" s="29">
        <v>1.1</v>
      </c>
      <c r="H13" s="68">
        <f t="shared" si="0"/>
        <v>1.8800000000000001</v>
      </c>
      <c r="I13" s="63"/>
      <c r="J13" s="64"/>
      <c r="K13" s="64"/>
    </row>
    <row r="14" spans="1:11" ht="12.75">
      <c r="A14" s="71"/>
      <c r="B14" s="72" t="s">
        <v>111</v>
      </c>
      <c r="C14" s="73">
        <v>1.45</v>
      </c>
      <c r="D14" s="73">
        <v>0.84</v>
      </c>
      <c r="E14" s="74">
        <f>SUM(C14:D14)</f>
        <v>2.29</v>
      </c>
      <c r="F14" s="73">
        <v>1.45</v>
      </c>
      <c r="G14" s="73">
        <v>0.84</v>
      </c>
      <c r="H14" s="75">
        <f t="shared" si="0"/>
        <v>2.29</v>
      </c>
      <c r="I14" s="63"/>
      <c r="J14" s="64"/>
      <c r="K14" s="64"/>
    </row>
    <row r="15" spans="1:11" ht="12.75">
      <c r="A15" s="28" t="s">
        <v>28</v>
      </c>
      <c r="B15" s="70"/>
      <c r="C15" s="29">
        <v>1.07</v>
      </c>
      <c r="D15" s="29">
        <v>1.31</v>
      </c>
      <c r="E15" s="67">
        <f>SUM(C15:D15)</f>
        <v>2.38</v>
      </c>
      <c r="F15" s="29">
        <v>1.07</v>
      </c>
      <c r="G15" s="29">
        <v>1.31</v>
      </c>
      <c r="H15" s="67">
        <f t="shared" si="0"/>
        <v>2.38</v>
      </c>
      <c r="I15" s="64"/>
      <c r="J15" s="64"/>
      <c r="K15" s="64"/>
    </row>
    <row r="16" spans="1:11" ht="12.75">
      <c r="A16" s="28" t="s">
        <v>232</v>
      </c>
      <c r="B16" s="70"/>
      <c r="C16" s="29">
        <v>0</v>
      </c>
      <c r="D16" s="29">
        <v>0</v>
      </c>
      <c r="E16" s="67">
        <f>SUM(C16:D16)</f>
        <v>0</v>
      </c>
      <c r="F16" s="29">
        <v>0</v>
      </c>
      <c r="G16" s="29">
        <v>0</v>
      </c>
      <c r="H16" s="67">
        <f t="shared" si="0"/>
        <v>0</v>
      </c>
      <c r="I16" s="64"/>
      <c r="J16" s="64"/>
      <c r="K16" s="64"/>
    </row>
    <row r="17" spans="1:11" ht="12.75">
      <c r="A17" s="30" t="s">
        <v>26</v>
      </c>
      <c r="B17" s="76" t="s">
        <v>27</v>
      </c>
      <c r="C17" s="31">
        <v>1.1</v>
      </c>
      <c r="D17" s="31">
        <v>1.7</v>
      </c>
      <c r="E17" s="67">
        <f>C17+D17</f>
        <v>2.8</v>
      </c>
      <c r="F17" s="29">
        <v>1.1</v>
      </c>
      <c r="G17" s="29">
        <v>1.7</v>
      </c>
      <c r="H17" s="67">
        <f aca="true" t="shared" si="1" ref="H17:H28">SUM(F17:G17)</f>
        <v>2.8</v>
      </c>
      <c r="I17" s="77">
        <f>7.8*1.18</f>
        <v>9.203999999999999</v>
      </c>
      <c r="J17" s="77">
        <f>9.35*1.18</f>
        <v>11.033</v>
      </c>
      <c r="K17" s="77">
        <f>I17+J17</f>
        <v>20.237</v>
      </c>
    </row>
    <row r="18" spans="1:11" ht="12.75">
      <c r="A18" s="30" t="s">
        <v>112</v>
      </c>
      <c r="B18" s="76" t="s">
        <v>30</v>
      </c>
      <c r="C18" s="33">
        <f>0.79*1.2</f>
        <v>0.948</v>
      </c>
      <c r="D18" s="31">
        <f>1.275*1.2</f>
        <v>1.5299999999999998</v>
      </c>
      <c r="E18" s="78">
        <f>C18+D18</f>
        <v>2.4779999999999998</v>
      </c>
      <c r="F18" s="79">
        <f>C18+0.03</f>
        <v>0.978</v>
      </c>
      <c r="G18" s="29">
        <f>D18+0.03</f>
        <v>1.5599999999999998</v>
      </c>
      <c r="H18" s="78">
        <f t="shared" si="1"/>
        <v>2.538</v>
      </c>
      <c r="I18" s="77">
        <f>8.9*1.18</f>
        <v>10.502</v>
      </c>
      <c r="J18" s="77">
        <f>9.75*1.18</f>
        <v>11.504999999999999</v>
      </c>
      <c r="K18" s="77">
        <f>I18+J18</f>
        <v>22.006999999999998</v>
      </c>
    </row>
    <row r="19" spans="1:11" ht="12.75">
      <c r="A19" s="30" t="s">
        <v>31</v>
      </c>
      <c r="B19" s="80" t="s">
        <v>32</v>
      </c>
      <c r="C19" s="31">
        <v>0.85</v>
      </c>
      <c r="D19" s="31">
        <v>1.7</v>
      </c>
      <c r="E19" s="67">
        <f>C19+D19</f>
        <v>2.55</v>
      </c>
      <c r="F19" s="29">
        <v>0.85</v>
      </c>
      <c r="G19" s="29">
        <v>1.7</v>
      </c>
      <c r="H19" s="67">
        <f t="shared" si="1"/>
        <v>2.55</v>
      </c>
      <c r="I19" s="77">
        <f>9.45*1.18</f>
        <v>11.150999999999998</v>
      </c>
      <c r="J19" s="77">
        <f>12.585*1.18</f>
        <v>14.8503</v>
      </c>
      <c r="K19" s="77">
        <f>I19+J19</f>
        <v>26.0013</v>
      </c>
    </row>
    <row r="20" spans="1:11" ht="12.75">
      <c r="A20" s="30" t="s">
        <v>33</v>
      </c>
      <c r="B20" s="76"/>
      <c r="C20" s="81">
        <v>0.43</v>
      </c>
      <c r="D20" s="31">
        <v>1.03</v>
      </c>
      <c r="E20" s="67">
        <f>SUM(C20:D20)</f>
        <v>1.46</v>
      </c>
      <c r="F20" s="29">
        <v>0.432</v>
      </c>
      <c r="G20" s="29">
        <v>1.03</v>
      </c>
      <c r="H20" s="67">
        <f t="shared" si="1"/>
        <v>1.462</v>
      </c>
      <c r="I20" s="77"/>
      <c r="J20" s="77"/>
      <c r="K20" s="77"/>
    </row>
    <row r="21" spans="1:11" ht="12.75">
      <c r="A21" s="30" t="s">
        <v>35</v>
      </c>
      <c r="B21" s="76" t="s">
        <v>36</v>
      </c>
      <c r="C21" s="31">
        <v>0.84</v>
      </c>
      <c r="D21" s="31">
        <v>1.76</v>
      </c>
      <c r="E21" s="67">
        <f aca="true" t="shared" si="2" ref="E21:E28">C21+D21</f>
        <v>2.6</v>
      </c>
      <c r="F21" s="29">
        <v>0.84</v>
      </c>
      <c r="G21" s="29">
        <v>1.76</v>
      </c>
      <c r="H21" s="67">
        <f t="shared" si="1"/>
        <v>2.6</v>
      </c>
      <c r="I21" s="77">
        <f>8*1.18</f>
        <v>9.44</v>
      </c>
      <c r="J21" s="30">
        <f>11.5*1.18</f>
        <v>13.569999999999999</v>
      </c>
      <c r="K21" s="77">
        <f>I21+J21</f>
        <v>23.009999999999998</v>
      </c>
    </row>
    <row r="22" spans="1:11" ht="12.75">
      <c r="A22" s="82" t="s">
        <v>37</v>
      </c>
      <c r="B22" s="83" t="s">
        <v>38</v>
      </c>
      <c r="C22" s="84">
        <v>0.79</v>
      </c>
      <c r="D22" s="85">
        <v>1.13</v>
      </c>
      <c r="E22" s="86">
        <f t="shared" si="2"/>
        <v>1.92</v>
      </c>
      <c r="F22" s="43">
        <v>0.91</v>
      </c>
      <c r="G22" s="43">
        <v>1.21</v>
      </c>
      <c r="H22" s="86">
        <f t="shared" si="1"/>
        <v>2.12</v>
      </c>
      <c r="I22" s="77">
        <f>7.203*1.18</f>
        <v>8.49954</v>
      </c>
      <c r="J22" s="77">
        <f>10.17*1.18</f>
        <v>12.000599999999999</v>
      </c>
      <c r="K22" s="77">
        <f>I22+J22</f>
        <v>20.50014</v>
      </c>
    </row>
    <row r="23" spans="1:11" ht="12.75">
      <c r="A23" s="58" t="s">
        <v>39</v>
      </c>
      <c r="B23" s="59" t="s">
        <v>113</v>
      </c>
      <c r="C23" s="60">
        <v>1.008</v>
      </c>
      <c r="D23" s="60">
        <v>1.008</v>
      </c>
      <c r="E23" s="61">
        <f t="shared" si="2"/>
        <v>2.016</v>
      </c>
      <c r="F23" s="60">
        <v>1.048</v>
      </c>
      <c r="G23" s="60">
        <v>1.048</v>
      </c>
      <c r="H23" s="87">
        <f t="shared" si="1"/>
        <v>2.096</v>
      </c>
      <c r="I23" s="88">
        <f>13.14*1.18</f>
        <v>15.5052</v>
      </c>
      <c r="J23" s="77">
        <f>13.14*1.18</f>
        <v>15.5052</v>
      </c>
      <c r="K23" s="77">
        <f>I23+J23</f>
        <v>31.0104</v>
      </c>
    </row>
    <row r="24" spans="1:11" ht="12.75">
      <c r="A24" s="89"/>
      <c r="B24" s="76" t="s">
        <v>114</v>
      </c>
      <c r="C24" s="31">
        <v>1.051</v>
      </c>
      <c r="D24" s="31">
        <v>0.92</v>
      </c>
      <c r="E24" s="67">
        <f t="shared" si="2"/>
        <v>1.971</v>
      </c>
      <c r="F24" s="29">
        <v>1.091</v>
      </c>
      <c r="G24" s="29">
        <v>0.96</v>
      </c>
      <c r="H24" s="68">
        <f t="shared" si="1"/>
        <v>2.051</v>
      </c>
      <c r="I24" s="88"/>
      <c r="J24" s="77"/>
      <c r="K24" s="77"/>
    </row>
    <row r="25" spans="1:11" ht="12.75">
      <c r="A25" s="89"/>
      <c r="B25" s="76" t="s">
        <v>115</v>
      </c>
      <c r="C25" s="31">
        <v>0.39</v>
      </c>
      <c r="D25" s="31">
        <v>0.342</v>
      </c>
      <c r="E25" s="67">
        <f t="shared" si="2"/>
        <v>0.732</v>
      </c>
      <c r="F25" s="29">
        <v>0.43</v>
      </c>
      <c r="G25" s="29">
        <v>0.382</v>
      </c>
      <c r="H25" s="68">
        <f t="shared" si="1"/>
        <v>0.812</v>
      </c>
      <c r="I25" s="88"/>
      <c r="J25" s="77"/>
      <c r="K25" s="77"/>
    </row>
    <row r="26" spans="1:11" ht="12.75">
      <c r="A26" s="90"/>
      <c r="B26" s="91" t="s">
        <v>116</v>
      </c>
      <c r="C26" s="92">
        <v>0</v>
      </c>
      <c r="D26" s="92">
        <v>0.799</v>
      </c>
      <c r="E26" s="74">
        <f t="shared" si="2"/>
        <v>0.799</v>
      </c>
      <c r="F26" s="73">
        <v>0</v>
      </c>
      <c r="G26" s="73">
        <v>0.84</v>
      </c>
      <c r="H26" s="75">
        <f t="shared" si="1"/>
        <v>0.84</v>
      </c>
      <c r="I26" s="88"/>
      <c r="J26" s="77"/>
      <c r="K26" s="77"/>
    </row>
    <row r="27" spans="1:11" ht="12.75">
      <c r="A27" s="28" t="s">
        <v>41</v>
      </c>
      <c r="B27" s="70" t="s">
        <v>42</v>
      </c>
      <c r="C27" s="29">
        <v>1.27</v>
      </c>
      <c r="D27" s="29">
        <v>2.36</v>
      </c>
      <c r="E27" s="67">
        <f t="shared" si="2"/>
        <v>3.63</v>
      </c>
      <c r="F27" s="29">
        <v>1.27</v>
      </c>
      <c r="G27" s="29">
        <v>2.36</v>
      </c>
      <c r="H27" s="67">
        <f t="shared" si="1"/>
        <v>3.63</v>
      </c>
      <c r="I27" s="77">
        <f>9.32*1.18</f>
        <v>10.9976</v>
      </c>
      <c r="J27" s="77">
        <f>12.71*1.18</f>
        <v>14.9978</v>
      </c>
      <c r="K27" s="77">
        <f>I27+J27</f>
        <v>25.9954</v>
      </c>
    </row>
    <row r="28" spans="1:11" ht="12.75">
      <c r="A28" s="82" t="s">
        <v>43</v>
      </c>
      <c r="B28" s="83" t="s">
        <v>44</v>
      </c>
      <c r="C28" s="84">
        <v>1.2</v>
      </c>
      <c r="D28" s="84">
        <v>1.77</v>
      </c>
      <c r="E28" s="86">
        <f t="shared" si="2"/>
        <v>2.9699999999999998</v>
      </c>
      <c r="F28" s="43">
        <v>1.32</v>
      </c>
      <c r="G28" s="43">
        <v>1.96</v>
      </c>
      <c r="H28" s="86">
        <f t="shared" si="1"/>
        <v>3.2800000000000002</v>
      </c>
      <c r="I28" s="77"/>
      <c r="J28" s="77"/>
      <c r="K28" s="77"/>
    </row>
    <row r="29" spans="1:12" ht="12.75">
      <c r="A29" s="93" t="s">
        <v>45</v>
      </c>
      <c r="B29" s="59" t="s">
        <v>46</v>
      </c>
      <c r="C29" s="60"/>
      <c r="D29" s="60"/>
      <c r="E29" s="61"/>
      <c r="F29" s="60"/>
      <c r="G29" s="60"/>
      <c r="H29" s="87"/>
      <c r="I29" s="88">
        <f>11.02*1.18</f>
        <v>13.003599999999999</v>
      </c>
      <c r="J29" s="77">
        <f>14.41*1.18</f>
        <v>17.0038</v>
      </c>
      <c r="K29" s="77">
        <f>I29+J29</f>
        <v>30.007399999999997</v>
      </c>
      <c r="L29" s="1"/>
    </row>
    <row r="30" spans="1:12" ht="12.75">
      <c r="A30" s="94"/>
      <c r="B30" s="76" t="s">
        <v>117</v>
      </c>
      <c r="C30" s="31">
        <v>0.98</v>
      </c>
      <c r="D30" s="31">
        <v>1.36</v>
      </c>
      <c r="E30" s="67">
        <f aca="true" t="shared" si="3" ref="E30:E37">SUM(C30:D30)</f>
        <v>2.34</v>
      </c>
      <c r="F30" s="29">
        <v>1.02</v>
      </c>
      <c r="G30" s="29">
        <v>1.39</v>
      </c>
      <c r="H30" s="68">
        <f aca="true" t="shared" si="4" ref="H30:H37">SUM(F30:G30)</f>
        <v>2.41</v>
      </c>
      <c r="I30" s="88"/>
      <c r="J30" s="77"/>
      <c r="K30" s="77"/>
      <c r="L30" s="1"/>
    </row>
    <row r="31" spans="1:12" ht="12.75">
      <c r="A31" s="94"/>
      <c r="B31" s="83" t="s">
        <v>118</v>
      </c>
      <c r="C31" s="84">
        <v>1.23</v>
      </c>
      <c r="D31" s="84">
        <v>1.69</v>
      </c>
      <c r="E31" s="86">
        <f t="shared" si="3"/>
        <v>2.92</v>
      </c>
      <c r="F31" s="43">
        <v>1.27</v>
      </c>
      <c r="G31" s="43">
        <v>1.72</v>
      </c>
      <c r="H31" s="95">
        <f t="shared" si="4"/>
        <v>2.99</v>
      </c>
      <c r="I31" s="88"/>
      <c r="J31" s="77"/>
      <c r="K31" s="77"/>
      <c r="L31" s="1"/>
    </row>
    <row r="32" spans="1:12" ht="12.75">
      <c r="A32" s="94"/>
      <c r="B32" s="76" t="s">
        <v>119</v>
      </c>
      <c r="C32" s="31">
        <v>0.75</v>
      </c>
      <c r="D32" s="31">
        <v>1.39</v>
      </c>
      <c r="E32" s="96">
        <f t="shared" si="3"/>
        <v>2.1399999999999997</v>
      </c>
      <c r="F32" s="31">
        <v>0.75</v>
      </c>
      <c r="G32" s="31">
        <v>1.39</v>
      </c>
      <c r="H32" s="97">
        <f t="shared" si="4"/>
        <v>2.1399999999999997</v>
      </c>
      <c r="I32" s="88"/>
      <c r="J32" s="77"/>
      <c r="K32" s="77"/>
      <c r="L32" s="1"/>
    </row>
    <row r="33" spans="1:12" ht="12.75">
      <c r="A33" s="94"/>
      <c r="B33" s="76" t="s">
        <v>120</v>
      </c>
      <c r="C33" s="31">
        <v>0.96</v>
      </c>
      <c r="D33" s="31">
        <v>1.09</v>
      </c>
      <c r="E33" s="96">
        <f t="shared" si="3"/>
        <v>2.05</v>
      </c>
      <c r="F33" s="31">
        <v>0.96</v>
      </c>
      <c r="G33" s="31">
        <v>1.09</v>
      </c>
      <c r="H33" s="97">
        <f t="shared" si="4"/>
        <v>2.05</v>
      </c>
      <c r="I33" s="88"/>
      <c r="J33" s="77"/>
      <c r="K33" s="77"/>
      <c r="L33" s="1"/>
    </row>
    <row r="34" spans="1:12" ht="12.75">
      <c r="A34" s="94"/>
      <c r="B34" s="76" t="s">
        <v>121</v>
      </c>
      <c r="C34" s="31">
        <v>0.83</v>
      </c>
      <c r="D34" s="31">
        <v>1.09</v>
      </c>
      <c r="E34" s="96">
        <f t="shared" si="3"/>
        <v>1.92</v>
      </c>
      <c r="F34" s="31">
        <v>0.83</v>
      </c>
      <c r="G34" s="31">
        <v>1.09</v>
      </c>
      <c r="H34" s="97">
        <f t="shared" si="4"/>
        <v>1.92</v>
      </c>
      <c r="I34" s="88"/>
      <c r="J34" s="77"/>
      <c r="K34" s="77"/>
      <c r="L34" s="1"/>
    </row>
    <row r="35" spans="1:12" ht="12.75">
      <c r="A35" s="94"/>
      <c r="B35" s="76" t="s">
        <v>122</v>
      </c>
      <c r="C35" s="31">
        <v>0.96</v>
      </c>
      <c r="D35" s="31">
        <v>1.53</v>
      </c>
      <c r="E35" s="96">
        <f t="shared" si="3"/>
        <v>2.49</v>
      </c>
      <c r="F35" s="31">
        <v>0.96</v>
      </c>
      <c r="G35" s="31">
        <v>1.53</v>
      </c>
      <c r="H35" s="97">
        <f t="shared" si="4"/>
        <v>2.49</v>
      </c>
      <c r="I35" s="88"/>
      <c r="J35" s="77"/>
      <c r="K35" s="77"/>
      <c r="L35" s="1"/>
    </row>
    <row r="36" spans="1:12" ht="12.75">
      <c r="A36" s="94"/>
      <c r="B36" s="76" t="s">
        <v>123</v>
      </c>
      <c r="C36" s="31">
        <v>0.83</v>
      </c>
      <c r="D36" s="31">
        <v>1.09</v>
      </c>
      <c r="E36" s="96">
        <f t="shared" si="3"/>
        <v>1.92</v>
      </c>
      <c r="F36" s="31">
        <v>0.83</v>
      </c>
      <c r="G36" s="31">
        <v>1.09</v>
      </c>
      <c r="H36" s="97">
        <f t="shared" si="4"/>
        <v>1.92</v>
      </c>
      <c r="I36" s="88"/>
      <c r="J36" s="77"/>
      <c r="K36" s="77"/>
      <c r="L36" s="1"/>
    </row>
    <row r="37" spans="1:12" ht="12.75">
      <c r="A37" s="94"/>
      <c r="B37" s="91" t="s">
        <v>124</v>
      </c>
      <c r="C37" s="92">
        <v>0.7</v>
      </c>
      <c r="D37" s="92">
        <v>0.83</v>
      </c>
      <c r="E37" s="98">
        <f t="shared" si="3"/>
        <v>1.5299999999999998</v>
      </c>
      <c r="F37" s="92">
        <v>0.7</v>
      </c>
      <c r="G37" s="92">
        <v>0.83</v>
      </c>
      <c r="H37" s="99">
        <f t="shared" si="4"/>
        <v>1.5299999999999998</v>
      </c>
      <c r="I37" s="88"/>
      <c r="J37" s="77"/>
      <c r="K37" s="77"/>
      <c r="L37" s="1"/>
    </row>
    <row r="38" spans="1:11" ht="12.75">
      <c r="A38" s="58" t="s">
        <v>47</v>
      </c>
      <c r="B38" s="70" t="s">
        <v>125</v>
      </c>
      <c r="C38" s="29"/>
      <c r="D38" s="29"/>
      <c r="E38" s="67">
        <f>C38+D38</f>
        <v>0</v>
      </c>
      <c r="F38" s="29"/>
      <c r="G38" s="29"/>
      <c r="H38" s="68"/>
      <c r="I38" s="88"/>
      <c r="J38" s="77"/>
      <c r="K38" s="77"/>
    </row>
    <row r="39" spans="1:11" ht="12.75">
      <c r="A39" s="89"/>
      <c r="B39" s="76" t="s">
        <v>126</v>
      </c>
      <c r="C39" s="33">
        <v>1.04</v>
      </c>
      <c r="D39" s="33">
        <v>1.37</v>
      </c>
      <c r="E39" s="78">
        <f>C39+D39</f>
        <v>2.41</v>
      </c>
      <c r="F39" s="79">
        <f>C39+0.17</f>
        <v>1.21</v>
      </c>
      <c r="G39" s="79">
        <f>1.37+0.21</f>
        <v>1.58</v>
      </c>
      <c r="H39" s="100">
        <f aca="true" t="shared" si="5" ref="H39:H46">SUM(F39:G39)</f>
        <v>2.79</v>
      </c>
      <c r="I39" s="88">
        <f>13.56*1.18</f>
        <v>16.000799999999998</v>
      </c>
      <c r="J39" s="77">
        <f>17.8*1.18</f>
        <v>21.004</v>
      </c>
      <c r="K39" s="77">
        <f>I39+J39</f>
        <v>37.0048</v>
      </c>
    </row>
    <row r="40" spans="1:11" ht="12.75">
      <c r="A40" s="89"/>
      <c r="B40" s="76" t="s">
        <v>127</v>
      </c>
      <c r="C40" s="33">
        <f>11.44/15.6466*1.2</f>
        <v>0.8773791111167921</v>
      </c>
      <c r="D40" s="33">
        <f>14.83/15.6466*1.2</f>
        <v>1.1373716973655619</v>
      </c>
      <c r="E40" s="78">
        <f>C40+D40</f>
        <v>2.014750808482354</v>
      </c>
      <c r="F40" s="79">
        <f>C40+0.17</f>
        <v>1.047379111116792</v>
      </c>
      <c r="G40" s="79">
        <f>1.14+0.21</f>
        <v>1.3499999999999999</v>
      </c>
      <c r="H40" s="100">
        <f t="shared" si="5"/>
        <v>2.397379111116792</v>
      </c>
      <c r="I40" s="88">
        <f>11.44*1.18</f>
        <v>13.499199999999998</v>
      </c>
      <c r="J40" s="77">
        <f>14.83*1.18</f>
        <v>17.499399999999998</v>
      </c>
      <c r="K40" s="77">
        <f>I40+J40</f>
        <v>30.998599999999996</v>
      </c>
    </row>
    <row r="41" spans="1:11" ht="12.75">
      <c r="A41" s="89"/>
      <c r="B41" s="76" t="s">
        <v>128</v>
      </c>
      <c r="C41" s="33">
        <f>9.32/15.6466*1.2</f>
        <v>0.7147878772385055</v>
      </c>
      <c r="D41" s="33">
        <f>12.71/15.6466*1.2</f>
        <v>0.9747804634872752</v>
      </c>
      <c r="E41" s="79">
        <f>C41+D41</f>
        <v>1.6895683407257807</v>
      </c>
      <c r="F41" s="79">
        <f>0.71+0.17</f>
        <v>0.88</v>
      </c>
      <c r="G41" s="79">
        <v>1.18</v>
      </c>
      <c r="H41" s="100">
        <f t="shared" si="5"/>
        <v>2.06</v>
      </c>
      <c r="I41" s="88">
        <f>9.32*1.18</f>
        <v>10.9976</v>
      </c>
      <c r="J41" s="77">
        <f>12.71*1.18</f>
        <v>14.9978</v>
      </c>
      <c r="K41" s="77">
        <f>I41+J41</f>
        <v>25.9954</v>
      </c>
    </row>
    <row r="42" spans="1:11" ht="12.75">
      <c r="A42" s="90"/>
      <c r="B42" s="91" t="s">
        <v>129</v>
      </c>
      <c r="C42" s="101">
        <f>13.56/15.6466*1.2</f>
        <v>1.0399703449950788</v>
      </c>
      <c r="D42" s="101">
        <f>17.8/15.6466*1.2</f>
        <v>1.3651528127516521</v>
      </c>
      <c r="E42" s="102">
        <f>SUM(C42:D42)</f>
        <v>2.405123157746731</v>
      </c>
      <c r="F42" s="102">
        <f>1.04+0.17</f>
        <v>1.21</v>
      </c>
      <c r="G42" s="102">
        <f>1.37+0.21</f>
        <v>1.58</v>
      </c>
      <c r="H42" s="103">
        <f t="shared" si="5"/>
        <v>2.79</v>
      </c>
      <c r="I42" s="88"/>
      <c r="J42" s="77"/>
      <c r="K42" s="77"/>
    </row>
    <row r="43" spans="1:11" ht="12.75">
      <c r="A43" s="28" t="s">
        <v>49</v>
      </c>
      <c r="B43" s="70" t="s">
        <v>130</v>
      </c>
      <c r="C43" s="29">
        <v>0.96</v>
      </c>
      <c r="D43" s="29">
        <v>1.37</v>
      </c>
      <c r="E43" s="67">
        <f>C43+D43</f>
        <v>2.33</v>
      </c>
      <c r="F43" s="79">
        <v>0.96</v>
      </c>
      <c r="G43" s="79">
        <v>1.37</v>
      </c>
      <c r="H43" s="78">
        <f t="shared" si="5"/>
        <v>2.33</v>
      </c>
      <c r="I43" s="77"/>
      <c r="J43" s="77"/>
      <c r="K43" s="77"/>
    </row>
    <row r="44" spans="1:11" ht="12.75">
      <c r="A44" s="28" t="s">
        <v>50</v>
      </c>
      <c r="B44" s="70"/>
      <c r="C44" s="29">
        <v>1.132</v>
      </c>
      <c r="D44" s="29">
        <v>1.351</v>
      </c>
      <c r="E44" s="67">
        <f>SUM(C44:D44)</f>
        <v>2.4829999999999997</v>
      </c>
      <c r="F44" s="79">
        <v>1.132</v>
      </c>
      <c r="G44" s="79">
        <v>1.351</v>
      </c>
      <c r="H44" s="78">
        <f t="shared" si="5"/>
        <v>2.4829999999999997</v>
      </c>
      <c r="I44" s="77"/>
      <c r="J44" s="77"/>
      <c r="K44" s="77"/>
    </row>
    <row r="45" spans="1:11" ht="12.75">
      <c r="A45" s="30" t="s">
        <v>131</v>
      </c>
      <c r="B45" s="76" t="s">
        <v>52</v>
      </c>
      <c r="C45" s="33">
        <f>0.79*1.2</f>
        <v>0.948</v>
      </c>
      <c r="D45" s="33">
        <f>1.13*1.2</f>
        <v>1.3559999999999999</v>
      </c>
      <c r="E45" s="78">
        <f>C45+D45</f>
        <v>2.304</v>
      </c>
      <c r="F45" s="29">
        <v>0.95</v>
      </c>
      <c r="G45" s="29">
        <v>1.36</v>
      </c>
      <c r="H45" s="67">
        <f t="shared" si="5"/>
        <v>2.31</v>
      </c>
      <c r="I45" s="77">
        <f>9.576*1.18</f>
        <v>11.29968</v>
      </c>
      <c r="J45" s="77">
        <f>13.22*1.18</f>
        <v>15.5996</v>
      </c>
      <c r="K45" s="77">
        <f>I45+J45</f>
        <v>26.89928</v>
      </c>
    </row>
    <row r="46" spans="1:11" ht="12.75">
      <c r="A46" s="30" t="s">
        <v>53</v>
      </c>
      <c r="B46" s="76" t="s">
        <v>54</v>
      </c>
      <c r="C46" s="31">
        <f>0.75*1.2</f>
        <v>0.8999999999999999</v>
      </c>
      <c r="D46" s="31">
        <v>2.03</v>
      </c>
      <c r="E46" s="29">
        <f>C46+D46</f>
        <v>2.9299999999999997</v>
      </c>
      <c r="F46" s="29">
        <v>1.09</v>
      </c>
      <c r="G46" s="29">
        <v>2.17</v>
      </c>
      <c r="H46" s="67">
        <f t="shared" si="5"/>
        <v>3.26</v>
      </c>
      <c r="I46" s="77">
        <f>7.2*1.18</f>
        <v>8.496</v>
      </c>
      <c r="J46" s="30">
        <f>25*1.18</f>
        <v>29.5</v>
      </c>
      <c r="K46" s="77">
        <f>I46+J46</f>
        <v>37.996</v>
      </c>
    </row>
    <row r="47" spans="1:11" ht="12.75">
      <c r="A47" s="82" t="s">
        <v>132</v>
      </c>
      <c r="B47" s="83" t="s">
        <v>56</v>
      </c>
      <c r="C47" s="84">
        <v>1.06</v>
      </c>
      <c r="D47" s="84">
        <v>1.47</v>
      </c>
      <c r="E47" s="86">
        <v>2.53</v>
      </c>
      <c r="F47" s="43">
        <v>1.06</v>
      </c>
      <c r="G47" s="43">
        <v>1.47</v>
      </c>
      <c r="H47" s="86">
        <v>2.53</v>
      </c>
      <c r="I47" s="77">
        <f>15*1.18</f>
        <v>17.7</v>
      </c>
      <c r="J47" s="77">
        <f>15*1.18</f>
        <v>17.7</v>
      </c>
      <c r="K47" s="77">
        <f>I47+J47</f>
        <v>35.4</v>
      </c>
    </row>
    <row r="48" spans="1:11" ht="12.75">
      <c r="A48" s="244" t="s">
        <v>57</v>
      </c>
      <c r="B48" s="245" t="s">
        <v>133</v>
      </c>
      <c r="C48" s="246">
        <v>0.99</v>
      </c>
      <c r="D48" s="246">
        <v>1.29</v>
      </c>
      <c r="E48" s="247">
        <f>SUM(C48:D48)</f>
        <v>2.2800000000000002</v>
      </c>
      <c r="F48" s="246">
        <v>0.99</v>
      </c>
      <c r="G48" s="246">
        <v>1.29</v>
      </c>
      <c r="H48" s="248">
        <f aca="true" t="shared" si="6" ref="H48:H53">SUM(F48:G48)</f>
        <v>2.2800000000000002</v>
      </c>
      <c r="I48" s="88">
        <f>10*1.18</f>
        <v>11.799999999999999</v>
      </c>
      <c r="J48" s="77">
        <f>25*1.18</f>
        <v>29.5</v>
      </c>
      <c r="K48" s="77">
        <f>I48+J48</f>
        <v>41.3</v>
      </c>
    </row>
    <row r="49" spans="1:11" ht="12.75">
      <c r="A49" s="249"/>
      <c r="B49" s="250" t="s">
        <v>134</v>
      </c>
      <c r="C49" s="243">
        <v>0.99</v>
      </c>
      <c r="D49" s="251">
        <v>1.29</v>
      </c>
      <c r="E49" s="252">
        <f aca="true" t="shared" si="7" ref="E49:E54">C49+D49</f>
        <v>2.2800000000000002</v>
      </c>
      <c r="F49" s="253">
        <v>0.99</v>
      </c>
      <c r="G49" s="253">
        <v>1.29</v>
      </c>
      <c r="H49" s="254">
        <f t="shared" si="6"/>
        <v>2.2800000000000002</v>
      </c>
      <c r="I49" s="88">
        <f>5.85*1.18</f>
        <v>6.903</v>
      </c>
      <c r="J49" s="77">
        <f>6.9*1.18</f>
        <v>8.142</v>
      </c>
      <c r="K49" s="77">
        <f>SUM(I49:J49)</f>
        <v>15.044999999999998</v>
      </c>
    </row>
    <row r="50" spans="1:11" ht="12.75">
      <c r="A50" s="255"/>
      <c r="B50" s="256" t="s">
        <v>135</v>
      </c>
      <c r="C50" s="257">
        <v>0.91</v>
      </c>
      <c r="D50" s="258">
        <v>0.91</v>
      </c>
      <c r="E50" s="259">
        <f t="shared" si="7"/>
        <v>1.82</v>
      </c>
      <c r="F50" s="260">
        <v>0.91</v>
      </c>
      <c r="G50" s="260">
        <v>0.91</v>
      </c>
      <c r="H50" s="261">
        <f t="shared" si="6"/>
        <v>1.82</v>
      </c>
      <c r="I50" s="88"/>
      <c r="J50" s="77"/>
      <c r="K50" s="77"/>
    </row>
    <row r="51" spans="1:11" ht="12.75">
      <c r="A51" s="58" t="s">
        <v>59</v>
      </c>
      <c r="B51" s="59" t="s">
        <v>60</v>
      </c>
      <c r="C51" s="60">
        <v>0.83</v>
      </c>
      <c r="D51" s="60">
        <v>1.208</v>
      </c>
      <c r="E51" s="61">
        <f t="shared" si="7"/>
        <v>2.038</v>
      </c>
      <c r="F51" s="60">
        <v>0.83</v>
      </c>
      <c r="G51" s="60">
        <v>1.208</v>
      </c>
      <c r="H51" s="87">
        <f t="shared" si="6"/>
        <v>2.038</v>
      </c>
      <c r="I51" s="88"/>
      <c r="J51" s="77"/>
      <c r="K51" s="77"/>
    </row>
    <row r="52" spans="1:11" ht="12.75">
      <c r="A52" s="89"/>
      <c r="B52" s="76" t="s">
        <v>136</v>
      </c>
      <c r="C52" s="31">
        <v>0.83</v>
      </c>
      <c r="D52" s="31">
        <v>1.47</v>
      </c>
      <c r="E52" s="67">
        <f t="shared" si="7"/>
        <v>2.3</v>
      </c>
      <c r="F52" s="29">
        <v>0.83</v>
      </c>
      <c r="G52" s="29">
        <v>1.47</v>
      </c>
      <c r="H52" s="68">
        <f t="shared" si="6"/>
        <v>2.3</v>
      </c>
      <c r="I52" s="88"/>
      <c r="J52" s="77"/>
      <c r="K52" s="77"/>
    </row>
    <row r="53" spans="1:11" ht="12.75">
      <c r="A53" s="90"/>
      <c r="B53" s="91" t="s">
        <v>137</v>
      </c>
      <c r="C53" s="92">
        <v>1.149</v>
      </c>
      <c r="D53" s="92">
        <v>1.69</v>
      </c>
      <c r="E53" s="74">
        <f t="shared" si="7"/>
        <v>2.839</v>
      </c>
      <c r="F53" s="73">
        <v>1.149</v>
      </c>
      <c r="G53" s="73">
        <v>1.69</v>
      </c>
      <c r="H53" s="75">
        <f t="shared" si="6"/>
        <v>2.839</v>
      </c>
      <c r="I53" s="88"/>
      <c r="J53" s="77"/>
      <c r="K53" s="77"/>
    </row>
    <row r="54" spans="1:11" ht="12.75">
      <c r="A54" s="58" t="s">
        <v>61</v>
      </c>
      <c r="B54" s="59" t="s">
        <v>62</v>
      </c>
      <c r="C54" s="60"/>
      <c r="D54" s="60"/>
      <c r="E54" s="61">
        <f t="shared" si="7"/>
        <v>0</v>
      </c>
      <c r="F54" s="60"/>
      <c r="G54" s="60"/>
      <c r="H54" s="87"/>
      <c r="I54" s="88">
        <f>11.44*1.18</f>
        <v>13.499199999999998</v>
      </c>
      <c r="J54" s="77">
        <f>8.9*1.18</f>
        <v>10.502</v>
      </c>
      <c r="K54" s="77">
        <f>I54+J54</f>
        <v>24.001199999999997</v>
      </c>
    </row>
    <row r="55" spans="1:11" ht="12.75">
      <c r="A55" s="89"/>
      <c r="B55" s="76" t="s">
        <v>138</v>
      </c>
      <c r="C55" s="31">
        <v>0.89</v>
      </c>
      <c r="D55" s="31">
        <v>0.73</v>
      </c>
      <c r="E55" s="67">
        <f>SUM(C55:D55)</f>
        <v>1.62</v>
      </c>
      <c r="F55" s="29">
        <v>0.89</v>
      </c>
      <c r="G55" s="29">
        <v>0.73</v>
      </c>
      <c r="H55" s="68">
        <f>SUM(F55:G55)</f>
        <v>1.62</v>
      </c>
      <c r="I55" s="88"/>
      <c r="J55" s="77"/>
      <c r="K55" s="77"/>
    </row>
    <row r="56" spans="1:11" ht="12.75">
      <c r="A56" s="89"/>
      <c r="B56" s="76" t="s">
        <v>139</v>
      </c>
      <c r="C56" s="31">
        <v>0.89</v>
      </c>
      <c r="D56" s="31">
        <v>0.8</v>
      </c>
      <c r="E56" s="67">
        <f>SUM(C56:D56)</f>
        <v>1.69</v>
      </c>
      <c r="F56" s="29">
        <v>0.89</v>
      </c>
      <c r="G56" s="29">
        <v>0.8</v>
      </c>
      <c r="H56" s="68">
        <f>SUM(F56:G56)</f>
        <v>1.69</v>
      </c>
      <c r="I56" s="88"/>
      <c r="J56" s="77"/>
      <c r="K56" s="77"/>
    </row>
    <row r="57" spans="1:11" ht="12.75">
      <c r="A57" s="89"/>
      <c r="B57" s="76" t="s">
        <v>140</v>
      </c>
      <c r="C57" s="31">
        <v>0.89</v>
      </c>
      <c r="D57" s="31">
        <v>0.89</v>
      </c>
      <c r="E57" s="67">
        <f>SUM(C57:D57)</f>
        <v>1.78</v>
      </c>
      <c r="F57" s="29">
        <v>0.89</v>
      </c>
      <c r="G57" s="29">
        <v>0.89</v>
      </c>
      <c r="H57" s="68">
        <f>SUM(F57:G57)</f>
        <v>1.78</v>
      </c>
      <c r="I57" s="88"/>
      <c r="J57" s="77"/>
      <c r="K57" s="77"/>
    </row>
    <row r="58" spans="1:11" ht="12.75">
      <c r="A58" s="89"/>
      <c r="B58" s="76" t="s">
        <v>141</v>
      </c>
      <c r="C58" s="31">
        <v>0.89</v>
      </c>
      <c r="D58" s="31">
        <v>1.15</v>
      </c>
      <c r="E58" s="67">
        <f>SUM(C58:D58)</f>
        <v>2.04</v>
      </c>
      <c r="F58" s="29">
        <v>0.89</v>
      </c>
      <c r="G58" s="29">
        <v>1.15</v>
      </c>
      <c r="H58" s="68">
        <f>SUM(F58:G58)</f>
        <v>2.04</v>
      </c>
      <c r="I58" s="88"/>
      <c r="J58" s="77"/>
      <c r="K58" s="77"/>
    </row>
    <row r="59" spans="1:11" ht="12.75">
      <c r="A59" s="89"/>
      <c r="B59" s="76" t="s">
        <v>142</v>
      </c>
      <c r="C59" s="31">
        <v>0.89</v>
      </c>
      <c r="D59" s="31">
        <v>1.41</v>
      </c>
      <c r="E59" s="67">
        <f>SUM(C59:D59)</f>
        <v>2.3</v>
      </c>
      <c r="F59" s="29">
        <v>0.89</v>
      </c>
      <c r="G59" s="29">
        <v>1.41</v>
      </c>
      <c r="H59" s="68">
        <f>SUM(F59:G59)</f>
        <v>2.3</v>
      </c>
      <c r="I59" s="88"/>
      <c r="J59" s="77"/>
      <c r="K59" s="77"/>
    </row>
    <row r="60" spans="1:11" ht="12.75">
      <c r="A60" s="89"/>
      <c r="B60" s="76" t="s">
        <v>143</v>
      </c>
      <c r="C60" s="33"/>
      <c r="D60" s="33"/>
      <c r="E60" s="67"/>
      <c r="F60" s="29"/>
      <c r="G60" s="29"/>
      <c r="H60" s="68"/>
      <c r="I60" s="88"/>
      <c r="J60" s="77"/>
      <c r="K60" s="77"/>
    </row>
    <row r="61" spans="1:11" ht="12.75">
      <c r="A61" s="89"/>
      <c r="B61" s="76" t="s">
        <v>138</v>
      </c>
      <c r="C61" s="33">
        <v>0.73</v>
      </c>
      <c r="D61" s="31">
        <v>0.73</v>
      </c>
      <c r="E61" s="78">
        <f>SUM(C61:D61)</f>
        <v>1.46</v>
      </c>
      <c r="F61" s="29">
        <v>0.73</v>
      </c>
      <c r="G61" s="29">
        <v>0.73</v>
      </c>
      <c r="H61" s="68">
        <f aca="true" t="shared" si="8" ref="H61:H68">SUM(F61:G61)</f>
        <v>1.46</v>
      </c>
      <c r="I61" s="88"/>
      <c r="J61" s="77"/>
      <c r="K61" s="77"/>
    </row>
    <row r="62" spans="1:11" ht="12.75">
      <c r="A62" s="89"/>
      <c r="B62" s="76" t="s">
        <v>139</v>
      </c>
      <c r="C62" s="33">
        <v>0.73</v>
      </c>
      <c r="D62" s="31">
        <v>0.8</v>
      </c>
      <c r="E62" s="78">
        <f>SUM(C62:D62)</f>
        <v>1.53</v>
      </c>
      <c r="F62" s="29">
        <v>0.73</v>
      </c>
      <c r="G62" s="29">
        <v>0.8</v>
      </c>
      <c r="H62" s="68">
        <f t="shared" si="8"/>
        <v>1.53</v>
      </c>
      <c r="I62" s="88"/>
      <c r="J62" s="77"/>
      <c r="K62" s="77"/>
    </row>
    <row r="63" spans="1:11" ht="12.75">
      <c r="A63" s="89"/>
      <c r="B63" s="76" t="s">
        <v>140</v>
      </c>
      <c r="C63" s="33">
        <v>0.73</v>
      </c>
      <c r="D63" s="31">
        <v>0.89</v>
      </c>
      <c r="E63" s="78">
        <f>SUM(C63:D63)</f>
        <v>1.62</v>
      </c>
      <c r="F63" s="29">
        <v>0.73</v>
      </c>
      <c r="G63" s="29">
        <v>0.89</v>
      </c>
      <c r="H63" s="68">
        <f t="shared" si="8"/>
        <v>1.62</v>
      </c>
      <c r="I63" s="88"/>
      <c r="J63" s="77"/>
      <c r="K63" s="77"/>
    </row>
    <row r="64" spans="1:11" ht="12.75">
      <c r="A64" s="89"/>
      <c r="B64" s="76" t="s">
        <v>141</v>
      </c>
      <c r="C64" s="33">
        <v>0.73</v>
      </c>
      <c r="D64" s="31">
        <v>1.15</v>
      </c>
      <c r="E64" s="78">
        <f>SUM(C64:D64)</f>
        <v>1.88</v>
      </c>
      <c r="F64" s="29">
        <v>0.73</v>
      </c>
      <c r="G64" s="29">
        <v>1.15</v>
      </c>
      <c r="H64" s="68">
        <f t="shared" si="8"/>
        <v>1.88</v>
      </c>
      <c r="I64" s="88"/>
      <c r="J64" s="77"/>
      <c r="K64" s="77"/>
    </row>
    <row r="65" spans="1:11" ht="12.75">
      <c r="A65" s="90"/>
      <c r="B65" s="91" t="s">
        <v>142</v>
      </c>
      <c r="C65" s="101">
        <v>0.73</v>
      </c>
      <c r="D65" s="92">
        <v>1.41</v>
      </c>
      <c r="E65" s="104">
        <f>SUM(C65:D65)</f>
        <v>2.1399999999999997</v>
      </c>
      <c r="F65" s="73">
        <v>0.73</v>
      </c>
      <c r="G65" s="73">
        <v>1.41</v>
      </c>
      <c r="H65" s="75">
        <f t="shared" si="8"/>
        <v>2.1399999999999997</v>
      </c>
      <c r="I65" s="88"/>
      <c r="J65" s="77"/>
      <c r="K65" s="77"/>
    </row>
    <row r="66" spans="1:11" ht="12.75">
      <c r="A66" s="58" t="s">
        <v>63</v>
      </c>
      <c r="B66" s="59" t="s">
        <v>144</v>
      </c>
      <c r="C66" s="60">
        <v>0.85</v>
      </c>
      <c r="D66" s="60">
        <v>1.128</v>
      </c>
      <c r="E66" s="61">
        <f>D66+C66</f>
        <v>1.9779999999999998</v>
      </c>
      <c r="F66" s="60">
        <v>0.85</v>
      </c>
      <c r="G66" s="60">
        <v>1.128</v>
      </c>
      <c r="H66" s="87">
        <f t="shared" si="8"/>
        <v>1.9779999999999998</v>
      </c>
      <c r="I66" s="88">
        <f>10.68*1.18</f>
        <v>12.6024</v>
      </c>
      <c r="J66" s="77">
        <f>12.2*1.18</f>
        <v>14.395999999999999</v>
      </c>
      <c r="K66" s="77">
        <f>I66+J66</f>
        <v>26.998399999999997</v>
      </c>
    </row>
    <row r="67" spans="1:11" ht="12.75">
      <c r="A67" s="89"/>
      <c r="B67" s="76" t="s">
        <v>145</v>
      </c>
      <c r="C67" s="31">
        <v>1.02</v>
      </c>
      <c r="D67" s="31">
        <v>1</v>
      </c>
      <c r="E67" s="96">
        <f>D67+C67</f>
        <v>2.02</v>
      </c>
      <c r="F67" s="31">
        <v>1.02</v>
      </c>
      <c r="G67" s="31">
        <v>1</v>
      </c>
      <c r="H67" s="97">
        <f t="shared" si="8"/>
        <v>2.02</v>
      </c>
      <c r="I67" s="88"/>
      <c r="J67" s="77"/>
      <c r="K67" s="77"/>
    </row>
    <row r="68" spans="1:11" ht="12.75">
      <c r="A68" s="90"/>
      <c r="B68" s="91" t="s">
        <v>146</v>
      </c>
      <c r="C68" s="92">
        <v>0.61</v>
      </c>
      <c r="D68" s="92">
        <v>0.92</v>
      </c>
      <c r="E68" s="98">
        <f>D68+C68</f>
        <v>1.53</v>
      </c>
      <c r="F68" s="92">
        <v>0.61</v>
      </c>
      <c r="G68" s="92">
        <v>0.92</v>
      </c>
      <c r="H68" s="99">
        <f t="shared" si="8"/>
        <v>1.53</v>
      </c>
      <c r="I68" s="88"/>
      <c r="J68" s="77"/>
      <c r="K68" s="77"/>
    </row>
    <row r="69" spans="1:11" ht="12.75">
      <c r="A69" s="35"/>
      <c r="B69" s="105"/>
      <c r="C69" s="53"/>
      <c r="D69" s="53"/>
      <c r="E69" s="106"/>
      <c r="F69" s="53"/>
      <c r="G69" s="53"/>
      <c r="H69" s="106"/>
      <c r="I69" s="88"/>
      <c r="J69" s="77"/>
      <c r="K69" s="107"/>
    </row>
    <row r="70" spans="1:11" ht="12.75">
      <c r="A70" s="35"/>
      <c r="B70" s="105"/>
      <c r="C70" s="53"/>
      <c r="D70" s="53"/>
      <c r="E70" s="106"/>
      <c r="F70" s="53"/>
      <c r="G70" s="53"/>
      <c r="H70" s="106"/>
      <c r="I70" s="88"/>
      <c r="J70" s="77"/>
      <c r="K70" s="107"/>
    </row>
    <row r="71" spans="1:11" ht="12.75">
      <c r="A71" s="35"/>
      <c r="B71" s="105"/>
      <c r="C71" s="53"/>
      <c r="D71" s="53"/>
      <c r="E71" s="106"/>
      <c r="F71" s="53"/>
      <c r="G71" s="53"/>
      <c r="H71" s="106"/>
      <c r="I71" s="77"/>
      <c r="J71" s="77"/>
      <c r="K71" s="107"/>
    </row>
    <row r="72" spans="1:11" ht="12.75">
      <c r="A72" s="38"/>
      <c r="B72" s="39"/>
      <c r="C72" s="283" t="s">
        <v>88</v>
      </c>
      <c r="D72" s="283"/>
      <c r="E72" s="283"/>
      <c r="F72" s="40" t="s">
        <v>89</v>
      </c>
      <c r="G72" s="41" t="s">
        <v>90</v>
      </c>
      <c r="H72" s="10" t="s">
        <v>91</v>
      </c>
      <c r="I72" s="77"/>
      <c r="J72" s="77"/>
      <c r="K72" s="107"/>
    </row>
    <row r="73" spans="1:11" ht="12.75">
      <c r="A73" s="44"/>
      <c r="B73" s="45" t="s">
        <v>95</v>
      </c>
      <c r="C73" s="46"/>
      <c r="D73" s="47"/>
      <c r="E73" s="48"/>
      <c r="F73" s="49" t="s">
        <v>96</v>
      </c>
      <c r="G73" s="50" t="s">
        <v>96</v>
      </c>
      <c r="H73" s="21" t="s">
        <v>13</v>
      </c>
      <c r="I73" s="77"/>
      <c r="J73" s="77"/>
      <c r="K73" s="107"/>
    </row>
    <row r="74" spans="1:11" ht="12.75">
      <c r="A74" s="54" t="s">
        <v>11</v>
      </c>
      <c r="B74" s="45" t="s">
        <v>12</v>
      </c>
      <c r="C74" s="44" t="s">
        <v>92</v>
      </c>
      <c r="D74" s="44" t="s">
        <v>98</v>
      </c>
      <c r="E74" s="54" t="s">
        <v>99</v>
      </c>
      <c r="F74" s="55" t="s">
        <v>100</v>
      </c>
      <c r="G74" s="56" t="s">
        <v>100</v>
      </c>
      <c r="H74" s="21" t="s">
        <v>101</v>
      </c>
      <c r="I74" s="77"/>
      <c r="J74" s="77"/>
      <c r="K74" s="107"/>
    </row>
    <row r="75" spans="1:14" ht="12.75">
      <c r="A75" s="108"/>
      <c r="B75" s="109"/>
      <c r="C75" s="110" t="s">
        <v>103</v>
      </c>
      <c r="D75" s="110" t="s">
        <v>103</v>
      </c>
      <c r="E75" s="110" t="s">
        <v>103</v>
      </c>
      <c r="F75" s="111" t="s">
        <v>103</v>
      </c>
      <c r="G75" s="112" t="s">
        <v>103</v>
      </c>
      <c r="H75" s="113" t="s">
        <v>103</v>
      </c>
      <c r="I75" s="77"/>
      <c r="J75" s="77"/>
      <c r="K75" s="107"/>
      <c r="N75" t="s">
        <v>147</v>
      </c>
    </row>
    <row r="76" spans="1:11" ht="12.75">
      <c r="A76" s="30" t="s">
        <v>65</v>
      </c>
      <c r="B76" s="76" t="s">
        <v>66</v>
      </c>
      <c r="C76" s="31">
        <v>0.75</v>
      </c>
      <c r="D76" s="31">
        <v>0.78</v>
      </c>
      <c r="E76" s="29">
        <v>1.53</v>
      </c>
      <c r="F76" s="29">
        <v>0.78</v>
      </c>
      <c r="G76" s="29">
        <v>0.81</v>
      </c>
      <c r="H76" s="67">
        <v>1.59</v>
      </c>
      <c r="I76" s="77">
        <f>10.3*1.18</f>
        <v>12.154</v>
      </c>
      <c r="J76" s="77">
        <f>10.58*1.18</f>
        <v>12.484399999999999</v>
      </c>
      <c r="K76" s="107">
        <f>I76+J76</f>
        <v>24.638399999999997</v>
      </c>
    </row>
    <row r="77" spans="1:11" ht="12.75">
      <c r="A77" s="82" t="s">
        <v>148</v>
      </c>
      <c r="B77" s="83" t="s">
        <v>68</v>
      </c>
      <c r="C77" s="84">
        <f>0.89*1.2</f>
        <v>1.068</v>
      </c>
      <c r="D77" s="84">
        <f>1.69*1.2</f>
        <v>2.028</v>
      </c>
      <c r="E77" s="86">
        <v>3.096</v>
      </c>
      <c r="F77" s="43">
        <v>1.068</v>
      </c>
      <c r="G77" s="43">
        <v>2.028</v>
      </c>
      <c r="H77" s="86">
        <v>3.096</v>
      </c>
      <c r="I77" s="77">
        <f>18.5*1.18</f>
        <v>21.83</v>
      </c>
      <c r="J77" s="30">
        <f>26*1.18</f>
        <v>30.68</v>
      </c>
      <c r="K77" s="107">
        <f>I77+J77</f>
        <v>52.51</v>
      </c>
    </row>
    <row r="78" spans="1:11" ht="12.75">
      <c r="A78" s="114" t="s">
        <v>69</v>
      </c>
      <c r="B78" s="115" t="s">
        <v>149</v>
      </c>
      <c r="C78" s="60"/>
      <c r="D78" s="60"/>
      <c r="E78" s="61"/>
      <c r="F78" s="60"/>
      <c r="G78" s="60"/>
      <c r="H78" s="87"/>
      <c r="I78" s="88"/>
      <c r="J78" s="30"/>
      <c r="K78" s="107"/>
    </row>
    <row r="79" spans="1:11" ht="12.75">
      <c r="A79" s="116"/>
      <c r="B79" s="82" t="s">
        <v>150</v>
      </c>
      <c r="C79" s="117">
        <v>1.31</v>
      </c>
      <c r="D79" s="84">
        <v>2.15</v>
      </c>
      <c r="E79" s="86">
        <f>SUM(C79:D79)</f>
        <v>3.46</v>
      </c>
      <c r="F79" s="43">
        <v>1.31</v>
      </c>
      <c r="G79" s="43">
        <v>2.15</v>
      </c>
      <c r="H79" s="95">
        <f aca="true" t="shared" si="9" ref="H79:H85">SUM(F79:G79)</f>
        <v>3.46</v>
      </c>
      <c r="I79" s="88"/>
      <c r="J79" s="30"/>
      <c r="K79" s="107"/>
    </row>
    <row r="80" spans="1:11" ht="12.75">
      <c r="A80" s="118"/>
      <c r="B80" s="30" t="s">
        <v>151</v>
      </c>
      <c r="C80" s="31">
        <v>1.31</v>
      </c>
      <c r="D80" s="31">
        <v>1.68</v>
      </c>
      <c r="E80" s="96">
        <f>SUM(C80:D80)</f>
        <v>2.99</v>
      </c>
      <c r="F80" s="31">
        <v>1.31</v>
      </c>
      <c r="G80" s="31">
        <v>1.68</v>
      </c>
      <c r="H80" s="97">
        <f t="shared" si="9"/>
        <v>2.99</v>
      </c>
      <c r="I80" s="88"/>
      <c r="J80" s="30"/>
      <c r="K80" s="107"/>
    </row>
    <row r="81" spans="1:11" ht="12.75">
      <c r="A81" s="119"/>
      <c r="B81" s="120" t="s">
        <v>152</v>
      </c>
      <c r="C81" s="92">
        <v>0.744</v>
      </c>
      <c r="D81" s="92">
        <v>2.06</v>
      </c>
      <c r="E81" s="98">
        <f>SUM(C81:D81)</f>
        <v>2.8040000000000003</v>
      </c>
      <c r="F81" s="92">
        <v>0.744</v>
      </c>
      <c r="G81" s="92">
        <v>2.06</v>
      </c>
      <c r="H81" s="98">
        <f t="shared" si="9"/>
        <v>2.8040000000000003</v>
      </c>
      <c r="I81" s="88"/>
      <c r="J81" s="30"/>
      <c r="K81" s="107"/>
    </row>
    <row r="82" spans="1:11" ht="12.75">
      <c r="A82" s="28" t="s">
        <v>70</v>
      </c>
      <c r="B82" s="70" t="s">
        <v>71</v>
      </c>
      <c r="C82" s="121">
        <v>2.78</v>
      </c>
      <c r="D82" s="29">
        <v>2.06</v>
      </c>
      <c r="E82" s="29">
        <f>SUM(C82:D82)</f>
        <v>4.84</v>
      </c>
      <c r="F82" s="29">
        <v>2.78</v>
      </c>
      <c r="G82" s="29">
        <v>2.06</v>
      </c>
      <c r="H82" s="67">
        <f t="shared" si="9"/>
        <v>4.84</v>
      </c>
      <c r="I82" s="77">
        <f>26.27*1.18</f>
        <v>30.998599999999996</v>
      </c>
      <c r="J82" s="77">
        <f>19.2*1.18</f>
        <v>22.656</v>
      </c>
      <c r="K82" s="107">
        <f>I82+J82</f>
        <v>53.654599999999995</v>
      </c>
    </row>
    <row r="83" spans="1:11" ht="12.75">
      <c r="A83" s="30" t="s">
        <v>72</v>
      </c>
      <c r="B83" s="76" t="s">
        <v>73</v>
      </c>
      <c r="C83" s="122">
        <v>1.51</v>
      </c>
      <c r="D83" s="31">
        <v>1.91</v>
      </c>
      <c r="E83" s="96">
        <f>SUM(C83:D83)</f>
        <v>3.42</v>
      </c>
      <c r="F83" s="31">
        <v>1.51</v>
      </c>
      <c r="G83" s="31">
        <v>1.91</v>
      </c>
      <c r="H83" s="96">
        <f t="shared" si="9"/>
        <v>3.42</v>
      </c>
      <c r="I83" s="77">
        <f>11.02*1.18</f>
        <v>13.003599999999999</v>
      </c>
      <c r="J83" s="77">
        <f>12.63*1.18</f>
        <v>14.9034</v>
      </c>
      <c r="K83" s="107">
        <f>I83+J83</f>
        <v>27.906999999999996</v>
      </c>
    </row>
    <row r="84" spans="1:11" ht="12.75">
      <c r="A84" s="28" t="s">
        <v>74</v>
      </c>
      <c r="B84" s="70" t="s">
        <v>75</v>
      </c>
      <c r="C84" s="31">
        <v>0.71</v>
      </c>
      <c r="D84" s="31">
        <v>0.86</v>
      </c>
      <c r="E84" s="67">
        <f>C84+D84</f>
        <v>1.5699999999999998</v>
      </c>
      <c r="F84" s="29">
        <v>0.71</v>
      </c>
      <c r="G84" s="29">
        <v>0.86</v>
      </c>
      <c r="H84" s="67">
        <f t="shared" si="9"/>
        <v>1.5699999999999998</v>
      </c>
      <c r="I84" s="77">
        <f>9.15*1.18</f>
        <v>10.797</v>
      </c>
      <c r="J84" s="77">
        <f>11.19*1.18</f>
        <v>13.204199999999998</v>
      </c>
      <c r="K84" s="107">
        <f>I84+J84</f>
        <v>24.001199999999997</v>
      </c>
    </row>
    <row r="85" spans="1:11" ht="12.75">
      <c r="A85" s="82" t="s">
        <v>153</v>
      </c>
      <c r="B85" s="83" t="s">
        <v>77</v>
      </c>
      <c r="C85" s="84">
        <v>0.845</v>
      </c>
      <c r="D85" s="84">
        <v>1.625</v>
      </c>
      <c r="E85" s="86">
        <f>C85+D85</f>
        <v>2.4699999999999998</v>
      </c>
      <c r="F85" s="43">
        <v>0.845</v>
      </c>
      <c r="G85" s="43">
        <v>1.625</v>
      </c>
      <c r="H85" s="86">
        <f t="shared" si="9"/>
        <v>2.4699999999999998</v>
      </c>
      <c r="I85" s="77"/>
      <c r="J85" s="77"/>
      <c r="K85" s="107"/>
    </row>
    <row r="86" spans="1:11" ht="12.75">
      <c r="A86" s="58" t="s">
        <v>78</v>
      </c>
      <c r="B86" s="59" t="s">
        <v>79</v>
      </c>
      <c r="C86" s="60">
        <v>0.56</v>
      </c>
      <c r="D86" s="123">
        <v>0.73</v>
      </c>
      <c r="E86" s="124">
        <v>1.26</v>
      </c>
      <c r="F86" s="123">
        <v>0.59</v>
      </c>
      <c r="G86" s="123">
        <v>0.76</v>
      </c>
      <c r="H86" s="125">
        <v>1.35</v>
      </c>
      <c r="I86" s="88"/>
      <c r="J86" s="77"/>
      <c r="K86" s="107"/>
    </row>
    <row r="87" spans="1:11" ht="12.75">
      <c r="A87" s="89"/>
      <c r="B87" s="76" t="s">
        <v>154</v>
      </c>
      <c r="C87" s="31">
        <v>0.68</v>
      </c>
      <c r="D87" s="33">
        <v>0.91</v>
      </c>
      <c r="E87" s="78">
        <v>1.59</v>
      </c>
      <c r="F87" s="79">
        <v>0.71</v>
      </c>
      <c r="G87" s="79">
        <v>0.94</v>
      </c>
      <c r="H87" s="100">
        <v>1.65</v>
      </c>
      <c r="I87" s="88"/>
      <c r="J87" s="77"/>
      <c r="K87" s="107"/>
    </row>
    <row r="88" spans="1:11" ht="12.75">
      <c r="A88" s="90"/>
      <c r="B88" s="91" t="s">
        <v>155</v>
      </c>
      <c r="C88" s="92">
        <v>0.93</v>
      </c>
      <c r="D88" s="101">
        <v>1.21</v>
      </c>
      <c r="E88" s="104">
        <v>2.14</v>
      </c>
      <c r="F88" s="102">
        <v>0.96</v>
      </c>
      <c r="G88" s="102">
        <v>1.24</v>
      </c>
      <c r="H88" s="103">
        <v>2.2</v>
      </c>
      <c r="I88" s="88"/>
      <c r="J88" s="77"/>
      <c r="K88" s="107"/>
    </row>
    <row r="89" spans="1:11" ht="12.75">
      <c r="A89" s="28" t="s">
        <v>80</v>
      </c>
      <c r="B89" s="70" t="s">
        <v>81</v>
      </c>
      <c r="C89" s="29">
        <v>1.45</v>
      </c>
      <c r="D89" s="29">
        <v>1.69</v>
      </c>
      <c r="E89" s="67">
        <f>C89+D89</f>
        <v>3.1399999999999997</v>
      </c>
      <c r="F89" s="29">
        <v>1.45</v>
      </c>
      <c r="G89" s="29">
        <v>1.69</v>
      </c>
      <c r="H89" s="67">
        <f>SUM(F89:G89)</f>
        <v>3.1399999999999997</v>
      </c>
      <c r="I89" s="77">
        <f>11.44*1.18</f>
        <v>13.499199999999998</v>
      </c>
      <c r="J89" s="77">
        <f>15.68*1.18</f>
        <v>18.502399999999998</v>
      </c>
      <c r="K89" s="107">
        <f>I89+J89</f>
        <v>32.001599999999996</v>
      </c>
    </row>
    <row r="90" spans="1:11" ht="12.75">
      <c r="A90" s="30" t="s">
        <v>82</v>
      </c>
      <c r="B90" s="76" t="s">
        <v>83</v>
      </c>
      <c r="C90" s="31">
        <v>0.86</v>
      </c>
      <c r="D90" s="31">
        <v>1.128</v>
      </c>
      <c r="E90" s="67">
        <f>C90+D90</f>
        <v>1.988</v>
      </c>
      <c r="F90" s="29">
        <v>0.86</v>
      </c>
      <c r="G90" s="29">
        <v>1.128</v>
      </c>
      <c r="H90" s="67">
        <f>SUM(F90:G90)</f>
        <v>1.988</v>
      </c>
      <c r="I90" s="77">
        <f>9*1.18</f>
        <v>10.62</v>
      </c>
      <c r="J90" s="77">
        <f>12*1.18</f>
        <v>14.16</v>
      </c>
      <c r="K90" s="107">
        <f>I90+J90</f>
        <v>24.78</v>
      </c>
    </row>
    <row r="91" spans="1:13" ht="12.75">
      <c r="A91" s="30" t="s">
        <v>84</v>
      </c>
      <c r="B91" s="76" t="s">
        <v>85</v>
      </c>
      <c r="C91" s="31">
        <v>0.92</v>
      </c>
      <c r="D91" s="31">
        <v>1.14</v>
      </c>
      <c r="E91" s="67">
        <f>C91+D91</f>
        <v>2.06</v>
      </c>
      <c r="F91" s="29">
        <v>0.92</v>
      </c>
      <c r="G91" s="29">
        <v>1.14</v>
      </c>
      <c r="H91" s="67">
        <f>SUM(F91:G91)</f>
        <v>2.06</v>
      </c>
      <c r="I91" s="77">
        <f>10*1.18</f>
        <v>11.799999999999999</v>
      </c>
      <c r="J91" s="30">
        <f>13*1.18</f>
        <v>15.34</v>
      </c>
      <c r="K91" s="107">
        <f>I91+J91</f>
        <v>27.14</v>
      </c>
      <c r="M91" t="s">
        <v>156</v>
      </c>
    </row>
    <row r="92" spans="1:15" ht="12.75">
      <c r="A92" s="1"/>
      <c r="I92" s="126"/>
      <c r="J92" s="126"/>
      <c r="K92" s="126"/>
      <c r="O92" t="s">
        <v>157</v>
      </c>
    </row>
    <row r="93" spans="1:8" ht="12.75">
      <c r="A93" s="1"/>
      <c r="C93" s="127"/>
      <c r="D93" s="127"/>
      <c r="E93" s="127"/>
      <c r="F93" s="127"/>
      <c r="G93" s="127"/>
      <c r="H93" s="128"/>
    </row>
    <row r="94" spans="1:8" ht="12.75">
      <c r="A94" s="1"/>
      <c r="C94" s="129"/>
      <c r="D94" s="129"/>
      <c r="E94" s="129"/>
      <c r="F94" s="129"/>
      <c r="G94" s="129"/>
      <c r="H94" s="130"/>
    </row>
    <row r="95" spans="1:8" ht="12.75">
      <c r="A95" s="1"/>
      <c r="E95" s="129"/>
      <c r="F95" s="129"/>
      <c r="G95" s="129"/>
      <c r="H95" s="129"/>
    </row>
    <row r="96" spans="1:5" ht="12.75">
      <c r="A96" s="1"/>
      <c r="E96" s="129"/>
    </row>
    <row r="97" spans="1:5" ht="12.75">
      <c r="A97" s="1"/>
      <c r="E97" s="129"/>
    </row>
    <row r="98" ht="12.75">
      <c r="E98" s="129"/>
    </row>
    <row r="99" ht="12.75">
      <c r="E99" s="129"/>
    </row>
    <row r="100" ht="12.75">
      <c r="E100" s="129"/>
    </row>
  </sheetData>
  <sheetProtection selectLockedCells="1" selectUnlockedCells="1"/>
  <mergeCells count="4">
    <mergeCell ref="A2:K2"/>
    <mergeCell ref="A3:K3"/>
    <mergeCell ref="C4:E4"/>
    <mergeCell ref="C72:E72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4"/>
  <sheetViews>
    <sheetView tabSelected="1" zoomScalePageLayoutView="0" workbookViewId="0" topLeftCell="A40">
      <selection activeCell="H51" sqref="H51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2" width="0" style="0" hidden="1" customWidth="1"/>
  </cols>
  <sheetData>
    <row r="2" spans="2:12" ht="12.75">
      <c r="B2" s="284" t="s">
        <v>158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2" ht="12.75">
      <c r="B3" s="285" t="s">
        <v>159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2" ht="12.75">
      <c r="B4" s="129"/>
      <c r="C4" s="129"/>
      <c r="D4" s="131"/>
      <c r="E4" s="132"/>
      <c r="F4" s="132"/>
      <c r="G4" s="129"/>
      <c r="H4" s="129"/>
      <c r="I4" s="129"/>
      <c r="J4" s="129"/>
      <c r="K4" s="129"/>
      <c r="L4" s="129"/>
    </row>
    <row r="5" spans="2:12" ht="12.75">
      <c r="B5" s="5"/>
      <c r="C5" s="6"/>
      <c r="D5" s="286" t="s">
        <v>88</v>
      </c>
      <c r="E5" s="286"/>
      <c r="F5" s="286"/>
      <c r="G5" s="40" t="s">
        <v>89</v>
      </c>
      <c r="H5" s="41" t="s">
        <v>160</v>
      </c>
      <c r="I5" s="10" t="s">
        <v>91</v>
      </c>
      <c r="J5" s="133" t="s">
        <v>92</v>
      </c>
      <c r="K5" s="134" t="s">
        <v>93</v>
      </c>
      <c r="L5" s="135" t="s">
        <v>94</v>
      </c>
    </row>
    <row r="6" spans="2:12" ht="12.75">
      <c r="B6" s="11"/>
      <c r="C6" s="12" t="s">
        <v>95</v>
      </c>
      <c r="D6" s="46"/>
      <c r="E6" s="47"/>
      <c r="F6" s="48"/>
      <c r="G6" s="49" t="s">
        <v>96</v>
      </c>
      <c r="H6" s="50" t="s">
        <v>96</v>
      </c>
      <c r="I6" s="21" t="s">
        <v>13</v>
      </c>
      <c r="J6" s="35"/>
      <c r="K6" s="52"/>
      <c r="L6" s="53" t="s">
        <v>97</v>
      </c>
    </row>
    <row r="7" spans="2:12" ht="12.75">
      <c r="B7" s="15" t="s">
        <v>11</v>
      </c>
      <c r="C7" s="12" t="s">
        <v>12</v>
      </c>
      <c r="D7" s="45" t="s">
        <v>92</v>
      </c>
      <c r="E7" s="13" t="s">
        <v>98</v>
      </c>
      <c r="F7" s="136" t="s">
        <v>161</v>
      </c>
      <c r="G7" s="55" t="s">
        <v>100</v>
      </c>
      <c r="H7" s="56" t="s">
        <v>100</v>
      </c>
      <c r="I7" s="21" t="s">
        <v>101</v>
      </c>
      <c r="J7" s="35"/>
      <c r="K7" s="52"/>
      <c r="L7" s="53" t="s">
        <v>102</v>
      </c>
    </row>
    <row r="8" spans="2:12" ht="12.75">
      <c r="B8" s="11"/>
      <c r="C8" s="16"/>
      <c r="D8" s="45" t="s">
        <v>103</v>
      </c>
      <c r="E8" s="12" t="s">
        <v>103</v>
      </c>
      <c r="F8" s="14" t="s">
        <v>103</v>
      </c>
      <c r="G8" s="50" t="s">
        <v>103</v>
      </c>
      <c r="H8" s="12" t="s">
        <v>162</v>
      </c>
      <c r="I8" s="14" t="s">
        <v>103</v>
      </c>
      <c r="J8" s="137" t="s">
        <v>104</v>
      </c>
      <c r="K8" s="138" t="s">
        <v>104</v>
      </c>
      <c r="L8" s="138" t="s">
        <v>104</v>
      </c>
    </row>
    <row r="9" spans="2:12" ht="12.75">
      <c r="B9" s="58" t="s">
        <v>24</v>
      </c>
      <c r="C9" s="59" t="s">
        <v>105</v>
      </c>
      <c r="D9" s="155"/>
      <c r="E9" s="155"/>
      <c r="F9" s="214"/>
      <c r="G9" s="155"/>
      <c r="H9" s="155"/>
      <c r="I9" s="215"/>
      <c r="J9" s="63">
        <f>6.61*1.18</f>
        <v>7.7998</v>
      </c>
      <c r="K9" s="64">
        <f>14.11*1.18</f>
        <v>16.6498</v>
      </c>
      <c r="L9" s="64">
        <f>J9+K9</f>
        <v>24.4496</v>
      </c>
    </row>
    <row r="10" spans="2:12" ht="12.75">
      <c r="B10" s="89"/>
      <c r="C10" s="139" t="s">
        <v>106</v>
      </c>
      <c r="D10" s="151">
        <v>0.51</v>
      </c>
      <c r="E10" s="151">
        <v>1.39</v>
      </c>
      <c r="F10" s="152">
        <f>D10+E10</f>
        <v>1.9</v>
      </c>
      <c r="G10" s="151">
        <v>0.51</v>
      </c>
      <c r="H10" s="151">
        <v>1.39</v>
      </c>
      <c r="I10" s="158">
        <f aca="true" t="shared" si="0" ref="I10:I17">SUM(G10:H10)</f>
        <v>1.9</v>
      </c>
      <c r="J10" s="63"/>
      <c r="K10" s="64"/>
      <c r="L10" s="64"/>
    </row>
    <row r="11" spans="2:12" ht="12.75">
      <c r="B11" s="89"/>
      <c r="C11" s="76" t="s">
        <v>107</v>
      </c>
      <c r="D11" s="151">
        <v>0.6</v>
      </c>
      <c r="E11" s="151">
        <v>0.61</v>
      </c>
      <c r="F11" s="152">
        <f>SUM(D11:E11)</f>
        <v>1.21</v>
      </c>
      <c r="G11" s="151">
        <v>0.6</v>
      </c>
      <c r="H11" s="151">
        <v>0.61</v>
      </c>
      <c r="I11" s="158">
        <f t="shared" si="0"/>
        <v>1.21</v>
      </c>
      <c r="J11" s="63"/>
      <c r="K11" s="64"/>
      <c r="L11" s="64"/>
    </row>
    <row r="12" spans="2:12" ht="12.75">
      <c r="B12" s="89"/>
      <c r="C12" s="76" t="s">
        <v>108</v>
      </c>
      <c r="D12" s="151">
        <v>0.51</v>
      </c>
      <c r="E12" s="151">
        <v>0.61</v>
      </c>
      <c r="F12" s="152">
        <f>D12+E12</f>
        <v>1.12</v>
      </c>
      <c r="G12" s="151">
        <v>0.51</v>
      </c>
      <c r="H12" s="151">
        <v>0.61</v>
      </c>
      <c r="I12" s="158">
        <f t="shared" si="0"/>
        <v>1.12</v>
      </c>
      <c r="J12" s="63"/>
      <c r="K12" s="64"/>
      <c r="L12" s="64"/>
    </row>
    <row r="13" spans="2:12" ht="12.75">
      <c r="B13" s="142"/>
      <c r="C13" s="76" t="s">
        <v>109</v>
      </c>
      <c r="D13" s="151">
        <v>0.74</v>
      </c>
      <c r="E13" s="151">
        <v>0.88</v>
      </c>
      <c r="F13" s="152">
        <f>SUM(D13:E13)</f>
        <v>1.62</v>
      </c>
      <c r="G13" s="151">
        <v>0.74</v>
      </c>
      <c r="H13" s="151">
        <v>0.88</v>
      </c>
      <c r="I13" s="158">
        <f t="shared" si="0"/>
        <v>1.62</v>
      </c>
      <c r="J13" s="63"/>
      <c r="K13" s="64"/>
      <c r="L13" s="64"/>
    </row>
    <row r="14" spans="2:12" ht="12.75">
      <c r="B14" s="89"/>
      <c r="C14" s="76" t="s">
        <v>110</v>
      </c>
      <c r="D14" s="151">
        <v>0.78</v>
      </c>
      <c r="E14" s="151">
        <v>1.1</v>
      </c>
      <c r="F14" s="152">
        <f>SUM(D14:E14)</f>
        <v>1.8800000000000001</v>
      </c>
      <c r="G14" s="151">
        <v>0.78</v>
      </c>
      <c r="H14" s="151">
        <v>1.1</v>
      </c>
      <c r="I14" s="158">
        <f t="shared" si="0"/>
        <v>1.8800000000000001</v>
      </c>
      <c r="J14" s="63"/>
      <c r="K14" s="64"/>
      <c r="L14" s="64"/>
    </row>
    <row r="15" spans="2:12" ht="12.75">
      <c r="B15" s="90"/>
      <c r="C15" s="91" t="s">
        <v>111</v>
      </c>
      <c r="D15" s="216">
        <v>1.45</v>
      </c>
      <c r="E15" s="216">
        <v>0.84</v>
      </c>
      <c r="F15" s="217">
        <f>SUM(D15:E15)</f>
        <v>2.29</v>
      </c>
      <c r="G15" s="216">
        <v>1.45</v>
      </c>
      <c r="H15" s="216">
        <v>0.84</v>
      </c>
      <c r="I15" s="218">
        <f t="shared" si="0"/>
        <v>2.29</v>
      </c>
      <c r="J15" s="63"/>
      <c r="K15" s="64"/>
      <c r="L15" s="64"/>
    </row>
    <row r="16" spans="2:12" ht="12.75">
      <c r="B16" s="28" t="s">
        <v>28</v>
      </c>
      <c r="C16" s="70"/>
      <c r="D16" s="213">
        <v>1.07</v>
      </c>
      <c r="E16" s="213">
        <v>1.31</v>
      </c>
      <c r="F16" s="219">
        <f>SUM(D16:E16)</f>
        <v>2.38</v>
      </c>
      <c r="G16" s="213">
        <v>1.07</v>
      </c>
      <c r="H16" s="213">
        <v>1.31</v>
      </c>
      <c r="I16" s="213">
        <f t="shared" si="0"/>
        <v>2.38</v>
      </c>
      <c r="J16" s="64"/>
      <c r="K16" s="64"/>
      <c r="L16" s="64"/>
    </row>
    <row r="17" spans="2:12" ht="12.75">
      <c r="B17" s="28" t="s">
        <v>232</v>
      </c>
      <c r="C17" s="70"/>
      <c r="D17" s="213">
        <v>0.87</v>
      </c>
      <c r="E17" s="213">
        <v>0.71</v>
      </c>
      <c r="F17" s="219">
        <f>SUM(D17:E17)</f>
        <v>1.58</v>
      </c>
      <c r="G17" s="213">
        <v>0.87</v>
      </c>
      <c r="H17" s="213">
        <v>0.71</v>
      </c>
      <c r="I17" s="213">
        <f t="shared" si="0"/>
        <v>1.58</v>
      </c>
      <c r="J17" s="64"/>
      <c r="K17" s="64"/>
      <c r="L17" s="64"/>
    </row>
    <row r="18" spans="2:12" ht="12.75">
      <c r="B18" s="30" t="s">
        <v>26</v>
      </c>
      <c r="C18" s="30" t="s">
        <v>27</v>
      </c>
      <c r="D18" s="151">
        <v>0.92</v>
      </c>
      <c r="E18" s="151">
        <v>1.42</v>
      </c>
      <c r="F18" s="219">
        <f>E18+D18</f>
        <v>2.34</v>
      </c>
      <c r="G18" s="213">
        <v>0.92</v>
      </c>
      <c r="H18" s="213">
        <v>1.42</v>
      </c>
      <c r="I18" s="213">
        <f>SUM(G18:H18)</f>
        <v>2.34</v>
      </c>
      <c r="J18" s="77">
        <f>7.8*1.18</f>
        <v>9.203999999999999</v>
      </c>
      <c r="K18" s="77">
        <f>9.35*1.18</f>
        <v>11.033</v>
      </c>
      <c r="L18" s="77">
        <f>J18+K18</f>
        <v>20.237</v>
      </c>
    </row>
    <row r="19" spans="2:12" ht="12.75">
      <c r="B19" s="30" t="s">
        <v>112</v>
      </c>
      <c r="C19" s="30" t="s">
        <v>30</v>
      </c>
      <c r="D19" s="149">
        <f>0.79*1.2</f>
        <v>0.948</v>
      </c>
      <c r="E19" s="151">
        <f>1.275*1.2</f>
        <v>1.5299999999999998</v>
      </c>
      <c r="F19" s="220">
        <f>E19+D19</f>
        <v>2.4779999999999998</v>
      </c>
      <c r="G19" s="220">
        <f>D19+0.06</f>
        <v>1.008</v>
      </c>
      <c r="H19" s="220">
        <f>E19+0.06</f>
        <v>1.5899999999999999</v>
      </c>
      <c r="I19" s="221">
        <f>SUM(G19:H19)</f>
        <v>2.598</v>
      </c>
      <c r="J19" s="77">
        <f>8.9*1.18</f>
        <v>10.502</v>
      </c>
      <c r="K19" s="77">
        <f>9.75*1.18</f>
        <v>11.504999999999999</v>
      </c>
      <c r="L19" s="77">
        <f>J19+K19</f>
        <v>22.006999999999998</v>
      </c>
    </row>
    <row r="20" spans="2:12" ht="12.75">
      <c r="B20" s="30" t="s">
        <v>31</v>
      </c>
      <c r="C20" s="32" t="s">
        <v>32</v>
      </c>
      <c r="D20" s="151">
        <v>0.85</v>
      </c>
      <c r="E20" s="151">
        <v>1.177</v>
      </c>
      <c r="F20" s="219">
        <f>E20+D20</f>
        <v>2.027</v>
      </c>
      <c r="G20" s="213">
        <v>0.85</v>
      </c>
      <c r="H20" s="213">
        <v>1.177</v>
      </c>
      <c r="I20" s="219">
        <f>SUM(G20:H20)</f>
        <v>2.027</v>
      </c>
      <c r="J20" s="77">
        <f>9.45*1.18</f>
        <v>11.150999999999998</v>
      </c>
      <c r="K20" s="77">
        <f>12.585*1.18</f>
        <v>14.8503</v>
      </c>
      <c r="L20" s="77">
        <f>J20+K20</f>
        <v>26.0013</v>
      </c>
    </row>
    <row r="21" spans="2:12" ht="12.75">
      <c r="B21" s="30" t="s">
        <v>33</v>
      </c>
      <c r="C21" s="145"/>
      <c r="D21" s="151">
        <v>0.7</v>
      </c>
      <c r="E21" s="151">
        <v>1</v>
      </c>
      <c r="F21" s="213">
        <f>E21+D21</f>
        <v>1.7</v>
      </c>
      <c r="G21" s="213">
        <v>0.71</v>
      </c>
      <c r="H21" s="213">
        <v>1</v>
      </c>
      <c r="I21" s="219">
        <f>SUM(G21:H21)</f>
        <v>1.71</v>
      </c>
      <c r="J21" s="77"/>
      <c r="K21" s="77"/>
      <c r="L21" s="77"/>
    </row>
    <row r="22" spans="2:12" ht="12.75">
      <c r="B22" s="30" t="s">
        <v>35</v>
      </c>
      <c r="C22" s="30" t="s">
        <v>36</v>
      </c>
      <c r="D22" s="153">
        <v>0.84</v>
      </c>
      <c r="E22" s="153">
        <v>1.76</v>
      </c>
      <c r="F22" s="222">
        <f aca="true" t="shared" si="1" ref="F22:F27">D22+E22</f>
        <v>2.6</v>
      </c>
      <c r="G22" s="223">
        <v>0.84</v>
      </c>
      <c r="H22" s="223">
        <v>1.76</v>
      </c>
      <c r="I22" s="222">
        <f aca="true" t="shared" si="2" ref="I22:I27">SUM(G22:H22)</f>
        <v>2.6</v>
      </c>
      <c r="J22" s="77">
        <v>9.44</v>
      </c>
      <c r="K22" s="30">
        <v>13.57</v>
      </c>
      <c r="L22" s="77">
        <f>J22+K22</f>
        <v>23.009999999999998</v>
      </c>
    </row>
    <row r="23" spans="2:12" ht="12.75">
      <c r="B23" s="82" t="s">
        <v>37</v>
      </c>
      <c r="C23" s="146" t="s">
        <v>38</v>
      </c>
      <c r="D23" s="153">
        <v>0.79</v>
      </c>
      <c r="E23" s="224">
        <v>1.13</v>
      </c>
      <c r="F23" s="154">
        <f t="shared" si="1"/>
        <v>1.92</v>
      </c>
      <c r="G23" s="153">
        <v>0.91</v>
      </c>
      <c r="H23" s="153">
        <v>1.21</v>
      </c>
      <c r="I23" s="154">
        <f t="shared" si="2"/>
        <v>2.12</v>
      </c>
      <c r="J23" s="88">
        <f>7.203*1.18</f>
        <v>8.49954</v>
      </c>
      <c r="K23" s="77">
        <f>10.17*1.18</f>
        <v>12.000599999999999</v>
      </c>
      <c r="L23" s="77">
        <f>J23+K23</f>
        <v>20.50014</v>
      </c>
    </row>
    <row r="24" spans="2:12" ht="12.75">
      <c r="B24" s="58" t="s">
        <v>39</v>
      </c>
      <c r="C24" s="147" t="s">
        <v>163</v>
      </c>
      <c r="D24" s="155">
        <v>0.52</v>
      </c>
      <c r="E24" s="155">
        <v>1.236</v>
      </c>
      <c r="F24" s="214">
        <f t="shared" si="1"/>
        <v>1.756</v>
      </c>
      <c r="G24" s="155">
        <v>0.59</v>
      </c>
      <c r="H24" s="155">
        <v>1.296</v>
      </c>
      <c r="I24" s="156">
        <f t="shared" si="2"/>
        <v>1.8860000000000001</v>
      </c>
      <c r="J24" s="88">
        <v>6.5</v>
      </c>
      <c r="K24" s="77">
        <v>13</v>
      </c>
      <c r="L24" s="77">
        <f>J24+K24</f>
        <v>19.5</v>
      </c>
    </row>
    <row r="25" spans="2:12" ht="12.75">
      <c r="B25" s="89"/>
      <c r="C25" s="30" t="s">
        <v>114</v>
      </c>
      <c r="D25" s="151">
        <v>0.92</v>
      </c>
      <c r="E25" s="151">
        <v>0.92</v>
      </c>
      <c r="F25" s="219">
        <f t="shared" si="1"/>
        <v>1.84</v>
      </c>
      <c r="G25" s="213">
        <v>0.99</v>
      </c>
      <c r="H25" s="213">
        <v>0.98</v>
      </c>
      <c r="I25" s="225">
        <f t="shared" si="2"/>
        <v>1.97</v>
      </c>
      <c r="J25" s="77"/>
      <c r="K25" s="77"/>
      <c r="L25" s="77"/>
    </row>
    <row r="26" spans="2:12" ht="12.75">
      <c r="B26" s="89"/>
      <c r="C26" s="30" t="s">
        <v>115</v>
      </c>
      <c r="D26" s="151">
        <v>0.39</v>
      </c>
      <c r="E26" s="151">
        <v>0.342</v>
      </c>
      <c r="F26" s="219">
        <f t="shared" si="1"/>
        <v>0.732</v>
      </c>
      <c r="G26" s="213">
        <v>0.46</v>
      </c>
      <c r="H26" s="213">
        <v>0.402</v>
      </c>
      <c r="I26" s="225">
        <f t="shared" si="2"/>
        <v>0.8620000000000001</v>
      </c>
      <c r="J26" s="77"/>
      <c r="K26" s="77"/>
      <c r="L26" s="77"/>
    </row>
    <row r="27" spans="2:12" ht="12.75">
      <c r="B27" s="90"/>
      <c r="C27" s="120" t="s">
        <v>116</v>
      </c>
      <c r="D27" s="153">
        <v>0</v>
      </c>
      <c r="E27" s="153">
        <v>0.799</v>
      </c>
      <c r="F27" s="222">
        <f t="shared" si="1"/>
        <v>0.799</v>
      </c>
      <c r="G27" s="223">
        <v>0</v>
      </c>
      <c r="H27" s="223">
        <v>0.859</v>
      </c>
      <c r="I27" s="226">
        <f t="shared" si="2"/>
        <v>0.859</v>
      </c>
      <c r="J27" s="77"/>
      <c r="K27" s="77"/>
      <c r="L27" s="77"/>
    </row>
    <row r="28" spans="2:12" ht="12.75">
      <c r="B28" s="28" t="s">
        <v>41</v>
      </c>
      <c r="C28" s="148" t="s">
        <v>42</v>
      </c>
      <c r="D28" s="149">
        <v>1.06</v>
      </c>
      <c r="E28" s="149">
        <v>1.968</v>
      </c>
      <c r="F28" s="150">
        <f>SUM(D28:E28)</f>
        <v>3.028</v>
      </c>
      <c r="G28" s="151">
        <v>1.06</v>
      </c>
      <c r="H28" s="151">
        <v>1.97</v>
      </c>
      <c r="I28" s="152">
        <f>SUM(G28:H28)</f>
        <v>3.0300000000000002</v>
      </c>
      <c r="J28" s="88">
        <f>9.32*1.18</f>
        <v>10.9976</v>
      </c>
      <c r="K28" s="77">
        <f>12.71*1.18</f>
        <v>14.9978</v>
      </c>
      <c r="L28" s="77">
        <f>J28+K28</f>
        <v>25.9954</v>
      </c>
    </row>
    <row r="29" spans="2:12" ht="12.75">
      <c r="B29" s="82" t="s">
        <v>43</v>
      </c>
      <c r="C29" s="146" t="s">
        <v>44</v>
      </c>
      <c r="D29" s="153">
        <v>1.2</v>
      </c>
      <c r="E29" s="153">
        <v>1.77</v>
      </c>
      <c r="F29" s="154">
        <f>D29+E29</f>
        <v>2.9699999999999998</v>
      </c>
      <c r="G29" s="153">
        <v>1.32</v>
      </c>
      <c r="H29" s="153">
        <v>1.95</v>
      </c>
      <c r="I29" s="154">
        <f>SUM(G29:H29)</f>
        <v>3.27</v>
      </c>
      <c r="J29" s="88"/>
      <c r="K29" s="77"/>
      <c r="L29" s="77"/>
    </row>
    <row r="30" spans="2:12" ht="12.75">
      <c r="B30" s="58" t="s">
        <v>45</v>
      </c>
      <c r="C30" s="59" t="s">
        <v>46</v>
      </c>
      <c r="D30" s="155"/>
      <c r="E30" s="155"/>
      <c r="F30" s="214"/>
      <c r="G30" s="155"/>
      <c r="H30" s="155"/>
      <c r="I30" s="156"/>
      <c r="J30" s="88"/>
      <c r="K30" s="77"/>
      <c r="L30" s="77"/>
    </row>
    <row r="31" spans="2:12" ht="12.75">
      <c r="B31" s="69"/>
      <c r="C31" s="76" t="s">
        <v>117</v>
      </c>
      <c r="D31" s="31">
        <v>0.84</v>
      </c>
      <c r="E31" s="31">
        <v>1.11</v>
      </c>
      <c r="F31" s="67">
        <f aca="true" t="shared" si="3" ref="F31:F38">SUM(D31:E31)</f>
        <v>1.9500000000000002</v>
      </c>
      <c r="G31" s="29">
        <v>0.92</v>
      </c>
      <c r="H31" s="29">
        <v>1.19</v>
      </c>
      <c r="I31" s="68">
        <f aca="true" t="shared" si="4" ref="I31:I38">SUM(G31:H31)</f>
        <v>2.11</v>
      </c>
      <c r="J31" s="88"/>
      <c r="K31" s="77"/>
      <c r="L31" s="77"/>
    </row>
    <row r="32" spans="2:12" ht="12.75">
      <c r="B32" s="69"/>
      <c r="C32" s="83" t="s">
        <v>118</v>
      </c>
      <c r="D32" s="84">
        <v>0.84</v>
      </c>
      <c r="E32" s="84">
        <v>1.17</v>
      </c>
      <c r="F32" s="86">
        <f t="shared" si="3"/>
        <v>2.01</v>
      </c>
      <c r="G32" s="43">
        <v>0.92</v>
      </c>
      <c r="H32" s="43">
        <v>1.25</v>
      </c>
      <c r="I32" s="95">
        <f t="shared" si="4"/>
        <v>2.17</v>
      </c>
      <c r="J32" s="88"/>
      <c r="K32" s="77"/>
      <c r="L32" s="77"/>
    </row>
    <row r="33" spans="2:12" ht="12.75">
      <c r="B33" s="69"/>
      <c r="C33" s="76" t="s">
        <v>119</v>
      </c>
      <c r="D33" s="31">
        <v>0.75</v>
      </c>
      <c r="E33" s="31">
        <v>1.39</v>
      </c>
      <c r="F33" s="96">
        <f t="shared" si="3"/>
        <v>2.1399999999999997</v>
      </c>
      <c r="G33" s="31">
        <v>0.75</v>
      </c>
      <c r="H33" s="31">
        <v>1.39</v>
      </c>
      <c r="I33" s="97">
        <f t="shared" si="4"/>
        <v>2.1399999999999997</v>
      </c>
      <c r="J33" s="88"/>
      <c r="K33" s="77"/>
      <c r="L33" s="77"/>
    </row>
    <row r="34" spans="2:12" ht="12.75">
      <c r="B34" s="69"/>
      <c r="C34" s="76" t="s">
        <v>120</v>
      </c>
      <c r="D34" s="31">
        <v>0.96</v>
      </c>
      <c r="E34" s="31">
        <v>1.09</v>
      </c>
      <c r="F34" s="96">
        <f t="shared" si="3"/>
        <v>2.05</v>
      </c>
      <c r="G34" s="31">
        <v>0.96</v>
      </c>
      <c r="H34" s="31">
        <v>1.09</v>
      </c>
      <c r="I34" s="97">
        <f t="shared" si="4"/>
        <v>2.05</v>
      </c>
      <c r="J34" s="88"/>
      <c r="K34" s="77"/>
      <c r="L34" s="77"/>
    </row>
    <row r="35" spans="2:12" ht="12.75">
      <c r="B35" s="69"/>
      <c r="C35" s="76" t="s">
        <v>121</v>
      </c>
      <c r="D35" s="31">
        <v>0.83</v>
      </c>
      <c r="E35" s="31">
        <v>1.09</v>
      </c>
      <c r="F35" s="96">
        <f t="shared" si="3"/>
        <v>1.92</v>
      </c>
      <c r="G35" s="31">
        <v>0.83</v>
      </c>
      <c r="H35" s="31">
        <v>1.09</v>
      </c>
      <c r="I35" s="97">
        <f t="shared" si="4"/>
        <v>1.92</v>
      </c>
      <c r="J35" s="88"/>
      <c r="K35" s="77"/>
      <c r="L35" s="77"/>
    </row>
    <row r="36" spans="2:12" ht="12.75">
      <c r="B36" s="69"/>
      <c r="C36" s="76" t="s">
        <v>122</v>
      </c>
      <c r="D36" s="31">
        <v>0.96</v>
      </c>
      <c r="E36" s="31">
        <v>1.15</v>
      </c>
      <c r="F36" s="96">
        <f t="shared" si="3"/>
        <v>2.11</v>
      </c>
      <c r="G36" s="31">
        <v>0.96</v>
      </c>
      <c r="H36" s="31">
        <v>1.15</v>
      </c>
      <c r="I36" s="97">
        <f t="shared" si="4"/>
        <v>2.11</v>
      </c>
      <c r="J36" s="88"/>
      <c r="K36" s="77"/>
      <c r="L36" s="77"/>
    </row>
    <row r="37" spans="2:12" ht="12.75">
      <c r="B37" s="89"/>
      <c r="C37" s="76" t="s">
        <v>123</v>
      </c>
      <c r="D37" s="31">
        <v>0.83</v>
      </c>
      <c r="E37" s="31">
        <v>1.09</v>
      </c>
      <c r="F37" s="96">
        <f t="shared" si="3"/>
        <v>1.92</v>
      </c>
      <c r="G37" s="31">
        <v>0.83</v>
      </c>
      <c r="H37" s="31">
        <v>1.09</v>
      </c>
      <c r="I37" s="97">
        <f t="shared" si="4"/>
        <v>1.92</v>
      </c>
      <c r="J37" s="88"/>
      <c r="K37" s="77"/>
      <c r="L37" s="77"/>
    </row>
    <row r="38" spans="2:12" ht="12.75">
      <c r="B38" s="90"/>
      <c r="C38" s="91" t="s">
        <v>124</v>
      </c>
      <c r="D38" s="92">
        <v>0.63</v>
      </c>
      <c r="E38" s="92">
        <v>0.83</v>
      </c>
      <c r="F38" s="98">
        <f t="shared" si="3"/>
        <v>1.46</v>
      </c>
      <c r="G38" s="92">
        <v>0.7</v>
      </c>
      <c r="H38" s="92">
        <v>0.83</v>
      </c>
      <c r="I38" s="99">
        <f t="shared" si="4"/>
        <v>1.5299999999999998</v>
      </c>
      <c r="J38" s="88"/>
      <c r="K38" s="77"/>
      <c r="L38" s="77"/>
    </row>
    <row r="39" spans="2:12" ht="12.75">
      <c r="B39" s="58" t="s">
        <v>164</v>
      </c>
      <c r="C39" s="147" t="s">
        <v>48</v>
      </c>
      <c r="D39" s="123">
        <v>0.78</v>
      </c>
      <c r="E39" s="123">
        <v>1.44</v>
      </c>
      <c r="F39" s="123">
        <f>SUM(D39:E39)</f>
        <v>2.2199999999999998</v>
      </c>
      <c r="G39" s="60">
        <f>0.18+0.78</f>
        <v>0.96</v>
      </c>
      <c r="H39" s="60">
        <f>1.44+0.19</f>
        <v>1.63</v>
      </c>
      <c r="I39" s="87">
        <f aca="true" t="shared" si="5" ref="I39:I44">SUM(G39:H39)</f>
        <v>2.59</v>
      </c>
      <c r="J39" s="88"/>
      <c r="K39" s="77"/>
      <c r="L39" s="77"/>
    </row>
    <row r="40" spans="2:12" ht="12.75">
      <c r="B40" s="89"/>
      <c r="C40" s="157" t="s">
        <v>165</v>
      </c>
      <c r="D40" s="31">
        <v>0.78</v>
      </c>
      <c r="E40" s="33">
        <f>13.22/15.6466*1.2</f>
        <v>1.0138943923919574</v>
      </c>
      <c r="F40" s="34">
        <f>E40+D40</f>
        <v>1.7938943923919575</v>
      </c>
      <c r="G40" s="31">
        <v>0.96</v>
      </c>
      <c r="H40" s="31">
        <f>1.01+0.19</f>
        <v>1.2</v>
      </c>
      <c r="I40" s="97">
        <f t="shared" si="5"/>
        <v>2.16</v>
      </c>
      <c r="J40" s="88"/>
      <c r="K40" s="77"/>
      <c r="L40" s="77"/>
    </row>
    <row r="41" spans="2:12" ht="12.75">
      <c r="B41" s="89"/>
      <c r="C41" s="157" t="s">
        <v>166</v>
      </c>
      <c r="D41" s="33">
        <v>0.78</v>
      </c>
      <c r="E41" s="31">
        <v>1.01</v>
      </c>
      <c r="F41" s="31">
        <f>E41+D41</f>
        <v>1.79</v>
      </c>
      <c r="G41" s="31">
        <v>0.96</v>
      </c>
      <c r="H41" s="31">
        <f>H40</f>
        <v>1.2</v>
      </c>
      <c r="I41" s="97">
        <f t="shared" si="5"/>
        <v>2.16</v>
      </c>
      <c r="J41" s="88"/>
      <c r="K41" s="77"/>
      <c r="L41" s="77"/>
    </row>
    <row r="42" spans="2:12" ht="12.75">
      <c r="B42" s="90"/>
      <c r="C42" s="120" t="s">
        <v>167</v>
      </c>
      <c r="D42" s="73">
        <v>0.78</v>
      </c>
      <c r="E42" s="73">
        <v>1.44</v>
      </c>
      <c r="F42" s="73">
        <f>E42+D42</f>
        <v>2.2199999999999998</v>
      </c>
      <c r="G42" s="73">
        <v>0.96</v>
      </c>
      <c r="H42" s="73">
        <v>1.63</v>
      </c>
      <c r="I42" s="75">
        <f t="shared" si="5"/>
        <v>2.59</v>
      </c>
      <c r="J42" s="88"/>
      <c r="K42" s="77"/>
      <c r="L42" s="77"/>
    </row>
    <row r="43" spans="2:12" ht="12.75">
      <c r="B43" s="28" t="s">
        <v>49</v>
      </c>
      <c r="C43" s="28" t="s">
        <v>168</v>
      </c>
      <c r="D43" s="29">
        <v>0.96</v>
      </c>
      <c r="E43" s="29">
        <v>1.37</v>
      </c>
      <c r="F43" s="67">
        <f>D43+E43</f>
        <v>2.33</v>
      </c>
      <c r="G43" s="79">
        <v>0.96</v>
      </c>
      <c r="H43" s="79">
        <v>1.37</v>
      </c>
      <c r="I43" s="78">
        <f t="shared" si="5"/>
        <v>2.33</v>
      </c>
      <c r="J43" s="77"/>
      <c r="K43" s="77"/>
      <c r="L43" s="77"/>
    </row>
    <row r="44" spans="2:12" ht="12.75">
      <c r="B44" s="28" t="s">
        <v>50</v>
      </c>
      <c r="C44" s="70"/>
      <c r="D44" s="29">
        <v>1.132</v>
      </c>
      <c r="E44" s="29">
        <v>1.351</v>
      </c>
      <c r="F44" s="67">
        <f>SUM(D44:E44)</f>
        <v>2.4829999999999997</v>
      </c>
      <c r="G44" s="79">
        <v>1.132</v>
      </c>
      <c r="H44" s="79">
        <v>1.351</v>
      </c>
      <c r="I44" s="78">
        <f t="shared" si="5"/>
        <v>2.4829999999999997</v>
      </c>
      <c r="J44" s="77"/>
      <c r="K44" s="77"/>
      <c r="L44" s="77"/>
    </row>
    <row r="45" spans="2:12" ht="12.75">
      <c r="B45" s="30" t="s">
        <v>131</v>
      </c>
      <c r="C45" s="30" t="s">
        <v>52</v>
      </c>
      <c r="D45" s="31">
        <v>0.82</v>
      </c>
      <c r="E45" s="31">
        <v>1.16</v>
      </c>
      <c r="F45" s="67">
        <f>E45+D45</f>
        <v>1.98</v>
      </c>
      <c r="G45" s="29">
        <v>0.82</v>
      </c>
      <c r="H45" s="29">
        <v>1.16</v>
      </c>
      <c r="I45" s="67">
        <f>SUM(G45:H45)</f>
        <v>1.98</v>
      </c>
      <c r="J45" s="77">
        <v>9.4</v>
      </c>
      <c r="K45" s="77">
        <v>12.7</v>
      </c>
      <c r="L45" s="77">
        <f>J45+K45</f>
        <v>22.1</v>
      </c>
    </row>
    <row r="46" spans="2:12" ht="12.75">
      <c r="B46" s="30" t="s">
        <v>53</v>
      </c>
      <c r="C46" s="30" t="s">
        <v>54</v>
      </c>
      <c r="D46" s="31">
        <v>0.9</v>
      </c>
      <c r="E46" s="31">
        <v>1.44</v>
      </c>
      <c r="F46" s="29">
        <f>SUM(D46:E46)</f>
        <v>2.34</v>
      </c>
      <c r="G46" s="29">
        <f>0.9+0.15</f>
        <v>1.05</v>
      </c>
      <c r="H46" s="29">
        <f>1.44+0.15</f>
        <v>1.5899999999999999</v>
      </c>
      <c r="I46" s="67">
        <f>SUM(G46:H46)</f>
        <v>2.6399999999999997</v>
      </c>
      <c r="J46" s="77">
        <f>7.2*1.18</f>
        <v>8.496</v>
      </c>
      <c r="K46" s="30">
        <v>13.22</v>
      </c>
      <c r="L46" s="77">
        <f>J46+K46</f>
        <v>21.716</v>
      </c>
    </row>
    <row r="47" spans="2:13" ht="12.75">
      <c r="B47" s="82" t="s">
        <v>132</v>
      </c>
      <c r="C47" s="82" t="s">
        <v>56</v>
      </c>
      <c r="D47" s="84">
        <v>1.06</v>
      </c>
      <c r="E47" s="84">
        <v>1.47</v>
      </c>
      <c r="F47" s="86">
        <v>2.53</v>
      </c>
      <c r="G47" s="43">
        <v>1.06</v>
      </c>
      <c r="H47" s="43">
        <v>1.47</v>
      </c>
      <c r="I47" s="86">
        <v>2.53</v>
      </c>
      <c r="J47" s="77">
        <v>12.5</v>
      </c>
      <c r="K47" s="77">
        <v>13.33</v>
      </c>
      <c r="L47" s="77">
        <f>J47+K47</f>
        <v>25.83</v>
      </c>
      <c r="M47" t="s">
        <v>147</v>
      </c>
    </row>
    <row r="48" spans="2:12" ht="12.75">
      <c r="B48" s="244" t="s">
        <v>57</v>
      </c>
      <c r="C48" s="262" t="s">
        <v>133</v>
      </c>
      <c r="D48" s="246">
        <v>0.63</v>
      </c>
      <c r="E48" s="246">
        <v>1.08</v>
      </c>
      <c r="F48" s="247">
        <f>E48+D48</f>
        <v>1.71</v>
      </c>
      <c r="G48" s="246">
        <v>0.63</v>
      </c>
      <c r="H48" s="246">
        <v>1.08</v>
      </c>
      <c r="I48" s="248">
        <f aca="true" t="shared" si="6" ref="I48:I53">SUM(G48:H48)</f>
        <v>1.71</v>
      </c>
      <c r="J48" s="88">
        <v>7</v>
      </c>
      <c r="K48" s="77">
        <v>13</v>
      </c>
      <c r="L48" s="77">
        <f>J48+K48</f>
        <v>20</v>
      </c>
    </row>
    <row r="49" spans="2:12" ht="12.75">
      <c r="B49" s="249"/>
      <c r="C49" s="242" t="s">
        <v>134</v>
      </c>
      <c r="D49" s="263">
        <v>0.63</v>
      </c>
      <c r="E49" s="263">
        <v>1.08</v>
      </c>
      <c r="F49" s="264">
        <f>E49+D49</f>
        <v>1.71</v>
      </c>
      <c r="G49" s="265">
        <v>0.63</v>
      </c>
      <c r="H49" s="265">
        <v>1.08</v>
      </c>
      <c r="I49" s="266">
        <f t="shared" si="6"/>
        <v>1.71</v>
      </c>
      <c r="J49" s="88">
        <f>5.85*1.18</f>
        <v>6.903</v>
      </c>
      <c r="K49" s="77">
        <f>6.9*1.18</f>
        <v>8.142</v>
      </c>
      <c r="L49" s="77">
        <f>SUM(J49:K49)</f>
        <v>15.044999999999998</v>
      </c>
    </row>
    <row r="50" spans="2:12" ht="12.75">
      <c r="B50" s="255"/>
      <c r="C50" s="267" t="s">
        <v>135</v>
      </c>
      <c r="D50" s="257">
        <v>0.91</v>
      </c>
      <c r="E50" s="258">
        <v>0.91</v>
      </c>
      <c r="F50" s="268">
        <f>D50+E50</f>
        <v>1.82</v>
      </c>
      <c r="G50" s="258">
        <v>0.91</v>
      </c>
      <c r="H50" s="258">
        <v>0.91</v>
      </c>
      <c r="I50" s="269">
        <f t="shared" si="6"/>
        <v>1.82</v>
      </c>
      <c r="J50" s="88"/>
      <c r="K50" s="77"/>
      <c r="L50" s="77"/>
    </row>
    <row r="51" spans="2:12" ht="12.75">
      <c r="B51" s="58" t="s">
        <v>59</v>
      </c>
      <c r="C51" s="147" t="s">
        <v>60</v>
      </c>
      <c r="D51" s="60">
        <v>0.83</v>
      </c>
      <c r="E51" s="60">
        <v>1.208</v>
      </c>
      <c r="F51" s="61">
        <f>D51+E51</f>
        <v>2.038</v>
      </c>
      <c r="G51" s="60">
        <v>0.832</v>
      </c>
      <c r="H51" s="292">
        <v>1.208</v>
      </c>
      <c r="I51" s="87">
        <f t="shared" si="6"/>
        <v>2.04</v>
      </c>
      <c r="J51" s="88"/>
      <c r="K51" s="77"/>
      <c r="L51" s="77"/>
    </row>
    <row r="52" spans="2:12" ht="12.75">
      <c r="B52" s="89"/>
      <c r="C52" s="157" t="s">
        <v>169</v>
      </c>
      <c r="D52" s="31">
        <v>0.83</v>
      </c>
      <c r="E52" s="31">
        <v>1.47</v>
      </c>
      <c r="F52" s="67">
        <f>D52+E52</f>
        <v>2.3</v>
      </c>
      <c r="G52" s="31">
        <v>0.832</v>
      </c>
      <c r="H52" s="31">
        <v>1.472</v>
      </c>
      <c r="I52" s="97">
        <f t="shared" si="6"/>
        <v>2.304</v>
      </c>
      <c r="J52" s="88"/>
      <c r="K52" s="77"/>
      <c r="L52" s="77"/>
    </row>
    <row r="53" spans="2:12" ht="12.75">
      <c r="B53" s="90"/>
      <c r="C53" s="120" t="s">
        <v>137</v>
      </c>
      <c r="D53" s="92">
        <v>1.149</v>
      </c>
      <c r="E53" s="92">
        <v>1.69</v>
      </c>
      <c r="F53" s="74">
        <f>D53+E53</f>
        <v>2.839</v>
      </c>
      <c r="G53" s="73">
        <v>1.151</v>
      </c>
      <c r="H53" s="73">
        <v>1.692</v>
      </c>
      <c r="I53" s="75">
        <f t="shared" si="6"/>
        <v>2.843</v>
      </c>
      <c r="J53" s="88"/>
      <c r="K53" s="77"/>
      <c r="L53" s="77"/>
    </row>
    <row r="54" spans="2:12" ht="12.75">
      <c r="B54" s="58" t="s">
        <v>61</v>
      </c>
      <c r="C54" s="155" t="s">
        <v>62</v>
      </c>
      <c r="D54" s="60">
        <v>0.89</v>
      </c>
      <c r="E54" s="60">
        <v>0.729</v>
      </c>
      <c r="F54" s="61">
        <f>E54+D54</f>
        <v>1.619</v>
      </c>
      <c r="G54" s="60">
        <v>0.89</v>
      </c>
      <c r="H54" s="60">
        <v>0.729</v>
      </c>
      <c r="I54" s="61">
        <f>H54+G54</f>
        <v>1.619</v>
      </c>
      <c r="J54" s="88">
        <v>13</v>
      </c>
      <c r="K54" s="77">
        <v>9</v>
      </c>
      <c r="L54" s="77">
        <f>J54+K54</f>
        <v>22</v>
      </c>
    </row>
    <row r="55" spans="2:12" ht="12.75">
      <c r="B55" s="90"/>
      <c r="C55" s="120" t="s">
        <v>170</v>
      </c>
      <c r="D55" s="92">
        <v>0.729</v>
      </c>
      <c r="E55" s="92">
        <v>0.729</v>
      </c>
      <c r="F55" s="74">
        <f>E55+D55</f>
        <v>1.458</v>
      </c>
      <c r="G55" s="92">
        <v>0.729</v>
      </c>
      <c r="H55" s="92">
        <v>0.729</v>
      </c>
      <c r="I55" s="74">
        <f>H55+G55</f>
        <v>1.458</v>
      </c>
      <c r="J55" s="88"/>
      <c r="K55" s="77"/>
      <c r="L55" s="77"/>
    </row>
    <row r="56" spans="2:12" ht="12.75">
      <c r="B56" s="58" t="s">
        <v>63</v>
      </c>
      <c r="C56" s="159" t="s">
        <v>144</v>
      </c>
      <c r="D56" s="60">
        <v>0.85</v>
      </c>
      <c r="E56" s="60">
        <v>1.128</v>
      </c>
      <c r="F56" s="61">
        <f>E56+D56</f>
        <v>1.9779999999999998</v>
      </c>
      <c r="G56" s="60">
        <v>0.85</v>
      </c>
      <c r="H56" s="60">
        <v>1.128</v>
      </c>
      <c r="I56" s="61">
        <f>H56+G56</f>
        <v>1.9779999999999998</v>
      </c>
      <c r="J56" s="88">
        <f>10.68*1.18</f>
        <v>12.6024</v>
      </c>
      <c r="K56" s="77">
        <f>12.2*1.18</f>
        <v>14.395999999999999</v>
      </c>
      <c r="L56" s="77">
        <f>J56+K56</f>
        <v>26.998399999999997</v>
      </c>
    </row>
    <row r="57" spans="2:12" ht="12.75">
      <c r="B57" s="89"/>
      <c r="C57" s="30" t="s">
        <v>145</v>
      </c>
      <c r="D57" s="31">
        <v>1.02</v>
      </c>
      <c r="E57" s="31">
        <v>1</v>
      </c>
      <c r="F57" s="96">
        <f>E57+D57</f>
        <v>2.02</v>
      </c>
      <c r="G57" s="31">
        <v>1.02</v>
      </c>
      <c r="H57" s="31">
        <v>1</v>
      </c>
      <c r="I57" s="96">
        <f>H57+G57</f>
        <v>2.02</v>
      </c>
      <c r="J57" s="88"/>
      <c r="K57" s="77"/>
      <c r="L57" s="77"/>
    </row>
    <row r="58" spans="2:12" ht="12.75">
      <c r="B58" s="90"/>
      <c r="C58" s="120" t="s">
        <v>146</v>
      </c>
      <c r="D58" s="92">
        <v>0.61</v>
      </c>
      <c r="E58" s="92">
        <v>0.92</v>
      </c>
      <c r="F58" s="98">
        <f>E58+D58</f>
        <v>1.53</v>
      </c>
      <c r="G58" s="92">
        <v>0.61</v>
      </c>
      <c r="H58" s="92">
        <v>0.92</v>
      </c>
      <c r="I58" s="98">
        <f>H58+G58</f>
        <v>1.53</v>
      </c>
      <c r="J58" s="88"/>
      <c r="K58" s="77"/>
      <c r="L58" s="77"/>
    </row>
    <row r="59" spans="2:12" ht="12.75">
      <c r="B59" s="28" t="s">
        <v>65</v>
      </c>
      <c r="C59" s="28" t="s">
        <v>66</v>
      </c>
      <c r="D59" s="29">
        <v>0.75</v>
      </c>
      <c r="E59" s="29">
        <v>0.63</v>
      </c>
      <c r="F59" s="29">
        <v>1.38</v>
      </c>
      <c r="G59" s="29">
        <v>0.81</v>
      </c>
      <c r="H59" s="29">
        <v>0.69</v>
      </c>
      <c r="I59" s="67">
        <v>1.5</v>
      </c>
      <c r="J59" s="77">
        <v>5.18</v>
      </c>
      <c r="K59" s="77">
        <v>4.9</v>
      </c>
      <c r="L59" s="77">
        <f>J59+K59</f>
        <v>10.08</v>
      </c>
    </row>
    <row r="60" spans="2:12" ht="12.75">
      <c r="B60" s="82" t="s">
        <v>148</v>
      </c>
      <c r="C60" s="82" t="s">
        <v>68</v>
      </c>
      <c r="D60" s="84">
        <f>0.89*1.2</f>
        <v>1.068</v>
      </c>
      <c r="E60" s="84">
        <f>1.69*1.2</f>
        <v>2.028</v>
      </c>
      <c r="F60" s="86">
        <v>3.096</v>
      </c>
      <c r="G60" s="43">
        <v>1.068</v>
      </c>
      <c r="H60" s="43">
        <v>2.028</v>
      </c>
      <c r="I60" s="86">
        <v>3.096</v>
      </c>
      <c r="J60" s="77">
        <v>10.7</v>
      </c>
      <c r="K60" s="30">
        <v>14.75</v>
      </c>
      <c r="L60" s="77">
        <f>J60+K60</f>
        <v>25.45</v>
      </c>
    </row>
    <row r="61" spans="2:12" ht="12.75">
      <c r="B61" s="58" t="s">
        <v>69</v>
      </c>
      <c r="C61" s="159" t="s">
        <v>171</v>
      </c>
      <c r="D61" s="60">
        <v>0.83</v>
      </c>
      <c r="E61" s="60">
        <v>0.98</v>
      </c>
      <c r="F61" s="61">
        <f>SUM(D61:E61)</f>
        <v>1.81</v>
      </c>
      <c r="G61" s="60">
        <v>0.83</v>
      </c>
      <c r="H61" s="60">
        <v>0.98</v>
      </c>
      <c r="I61" s="87">
        <f>SUM(G61:H61)</f>
        <v>1.81</v>
      </c>
      <c r="J61" s="88"/>
      <c r="K61" s="30"/>
      <c r="L61" s="77"/>
    </row>
    <row r="62" spans="2:12" ht="12.75">
      <c r="B62" s="90"/>
      <c r="C62" s="120" t="s">
        <v>152</v>
      </c>
      <c r="D62" s="92">
        <v>0.47</v>
      </c>
      <c r="E62" s="92">
        <v>0.85</v>
      </c>
      <c r="F62" s="74">
        <f>SUM(D62:E62)</f>
        <v>1.3199999999999998</v>
      </c>
      <c r="G62" s="92">
        <v>0.47</v>
      </c>
      <c r="H62" s="92">
        <v>0.85</v>
      </c>
      <c r="I62" s="75">
        <f>SUM(G62:H62)</f>
        <v>1.3199999999999998</v>
      </c>
      <c r="J62" s="88"/>
      <c r="K62" s="30"/>
      <c r="L62" s="77"/>
    </row>
    <row r="63" spans="2:12" ht="12.75">
      <c r="B63" s="28" t="s">
        <v>172</v>
      </c>
      <c r="C63" s="28" t="s">
        <v>71</v>
      </c>
      <c r="D63" s="29">
        <v>1.152</v>
      </c>
      <c r="E63" s="29">
        <v>0.936</v>
      </c>
      <c r="F63" s="29">
        <f>SUM(D63:E63)</f>
        <v>2.088</v>
      </c>
      <c r="G63" s="29">
        <v>1.152</v>
      </c>
      <c r="H63" s="29">
        <v>0.936</v>
      </c>
      <c r="I63" s="67">
        <f>SUM(G63:H63)</f>
        <v>2.088</v>
      </c>
      <c r="J63" s="77">
        <v>12.79</v>
      </c>
      <c r="K63" s="77">
        <v>10.35</v>
      </c>
      <c r="L63" s="77">
        <f>J63+K63</f>
        <v>23.14</v>
      </c>
    </row>
    <row r="64" spans="2:12" ht="12.75">
      <c r="B64" s="30" t="s">
        <v>72</v>
      </c>
      <c r="C64" s="30" t="s">
        <v>73</v>
      </c>
      <c r="D64" s="31">
        <v>1.28</v>
      </c>
      <c r="E64" s="31">
        <v>1.62</v>
      </c>
      <c r="F64" s="96">
        <f>E64+D64</f>
        <v>2.9000000000000004</v>
      </c>
      <c r="G64" s="31">
        <v>1.28</v>
      </c>
      <c r="H64" s="31">
        <v>1.62</v>
      </c>
      <c r="I64" s="96">
        <f>H64+G64</f>
        <v>2.9000000000000004</v>
      </c>
      <c r="J64" s="77">
        <v>11</v>
      </c>
      <c r="K64" s="77">
        <v>12.6</v>
      </c>
      <c r="L64" s="77">
        <f>J64+K64</f>
        <v>23.6</v>
      </c>
    </row>
    <row r="65" spans="2:15" ht="12.75">
      <c r="B65" s="35"/>
      <c r="C65" s="35"/>
      <c r="D65" s="35"/>
      <c r="E65" s="35"/>
      <c r="F65" s="160"/>
      <c r="G65" s="35"/>
      <c r="H65" s="35"/>
      <c r="I65" s="160"/>
      <c r="J65" s="88"/>
      <c r="K65" s="77"/>
      <c r="L65" s="107"/>
      <c r="O65" t="s">
        <v>147</v>
      </c>
    </row>
    <row r="66" spans="2:12" ht="12.75">
      <c r="B66" s="35"/>
      <c r="C66" s="35"/>
      <c r="D66" s="35"/>
      <c r="E66" s="35"/>
      <c r="F66" s="160"/>
      <c r="G66" s="35"/>
      <c r="H66" s="35"/>
      <c r="I66" s="160"/>
      <c r="J66" s="88"/>
      <c r="K66" s="77"/>
      <c r="L66" s="107"/>
    </row>
    <row r="67" spans="2:12" ht="12.75">
      <c r="B67" s="35"/>
      <c r="C67" s="35"/>
      <c r="D67" s="35"/>
      <c r="E67" s="35"/>
      <c r="F67" s="160"/>
      <c r="G67" s="35"/>
      <c r="H67" s="35"/>
      <c r="I67" s="160"/>
      <c r="J67" s="88"/>
      <c r="K67" s="77"/>
      <c r="L67" s="107"/>
    </row>
    <row r="68" spans="2:12" ht="12.75">
      <c r="B68" s="35"/>
      <c r="C68" s="35"/>
      <c r="D68" s="35"/>
      <c r="E68" s="35"/>
      <c r="F68" s="160"/>
      <c r="G68" s="35"/>
      <c r="H68" s="35"/>
      <c r="I68" s="160" t="s">
        <v>147</v>
      </c>
      <c r="J68" s="88"/>
      <c r="K68" s="77"/>
      <c r="L68" s="107"/>
    </row>
    <row r="69" spans="2:15" ht="12.75">
      <c r="B69" s="35"/>
      <c r="C69" s="35"/>
      <c r="D69" s="35"/>
      <c r="E69" s="35"/>
      <c r="F69" s="160"/>
      <c r="G69" s="35"/>
      <c r="H69" s="35"/>
      <c r="I69" s="160"/>
      <c r="J69" s="88"/>
      <c r="K69" s="77"/>
      <c r="L69" s="107"/>
      <c r="O69" t="s">
        <v>147</v>
      </c>
    </row>
    <row r="70" spans="2:12" ht="12.75">
      <c r="B70" s="35"/>
      <c r="C70" s="35"/>
      <c r="D70" s="35"/>
      <c r="E70" s="35"/>
      <c r="F70" s="160"/>
      <c r="G70" s="35"/>
      <c r="H70" s="35"/>
      <c r="I70" s="160"/>
      <c r="J70" s="88"/>
      <c r="K70" s="77"/>
      <c r="L70" s="107"/>
    </row>
    <row r="71" spans="2:12" ht="12.75">
      <c r="B71" s="35"/>
      <c r="C71" s="35"/>
      <c r="D71" s="35"/>
      <c r="E71" s="35"/>
      <c r="F71" s="160"/>
      <c r="G71" s="35"/>
      <c r="H71" s="35"/>
      <c r="I71" s="160"/>
      <c r="J71" s="88"/>
      <c r="K71" s="77"/>
      <c r="L71" s="107"/>
    </row>
    <row r="72" spans="2:12" ht="12.75">
      <c r="B72" s="114"/>
      <c r="C72" s="161"/>
      <c r="D72" s="287" t="s">
        <v>88</v>
      </c>
      <c r="E72" s="287"/>
      <c r="F72" s="287"/>
      <c r="G72" s="162" t="s">
        <v>89</v>
      </c>
      <c r="H72" s="163" t="s">
        <v>160</v>
      </c>
      <c r="I72" s="164" t="s">
        <v>91</v>
      </c>
      <c r="J72" s="77"/>
      <c r="K72" s="77"/>
      <c r="L72" s="107"/>
    </row>
    <row r="73" spans="2:12" ht="12.75">
      <c r="B73" s="165"/>
      <c r="C73" s="42" t="s">
        <v>95</v>
      </c>
      <c r="D73" s="166"/>
      <c r="E73" s="167"/>
      <c r="F73" s="168"/>
      <c r="G73" s="169" t="s">
        <v>96</v>
      </c>
      <c r="H73" s="53" t="s">
        <v>96</v>
      </c>
      <c r="I73" s="95" t="s">
        <v>13</v>
      </c>
      <c r="J73" s="77"/>
      <c r="K73" s="77"/>
      <c r="L73" s="107"/>
    </row>
    <row r="74" spans="2:12" ht="12.75">
      <c r="B74" s="170" t="s">
        <v>11</v>
      </c>
      <c r="C74" s="42" t="s">
        <v>12</v>
      </c>
      <c r="D74" s="171" t="s">
        <v>92</v>
      </c>
      <c r="E74" s="43" t="s">
        <v>98</v>
      </c>
      <c r="F74" s="172" t="s">
        <v>161</v>
      </c>
      <c r="G74" s="173" t="s">
        <v>100</v>
      </c>
      <c r="H74" s="106" t="s">
        <v>100</v>
      </c>
      <c r="I74" s="95" t="s">
        <v>101</v>
      </c>
      <c r="J74" s="77"/>
      <c r="K74" s="77"/>
      <c r="L74" s="107"/>
    </row>
    <row r="75" spans="2:12" ht="12.75">
      <c r="B75" s="71"/>
      <c r="C75" s="174"/>
      <c r="D75" s="175" t="s">
        <v>104</v>
      </c>
      <c r="E75" s="138" t="s">
        <v>104</v>
      </c>
      <c r="F75" s="176" t="s">
        <v>104</v>
      </c>
      <c r="G75" s="137" t="s">
        <v>104</v>
      </c>
      <c r="H75" s="138" t="s">
        <v>104</v>
      </c>
      <c r="I75" s="176" t="s">
        <v>104</v>
      </c>
      <c r="J75" s="77"/>
      <c r="K75" s="77"/>
      <c r="L75" s="107"/>
    </row>
    <row r="76" spans="2:12" ht="12.75">
      <c r="B76" s="30" t="s">
        <v>74</v>
      </c>
      <c r="C76" s="30" t="s">
        <v>75</v>
      </c>
      <c r="D76" s="84">
        <v>0.71</v>
      </c>
      <c r="E76" s="84">
        <v>0.86</v>
      </c>
      <c r="F76" s="86">
        <f>D76+E76</f>
        <v>1.5699999999999998</v>
      </c>
      <c r="G76" s="43">
        <v>0.71</v>
      </c>
      <c r="H76" s="43">
        <v>0.86</v>
      </c>
      <c r="I76" s="86">
        <f>SUM(G76:H76)</f>
        <v>1.5699999999999998</v>
      </c>
      <c r="J76" s="77">
        <f>9.15*1.18</f>
        <v>10.797</v>
      </c>
      <c r="K76" s="77">
        <f>11.19*1.18</f>
        <v>13.204199999999998</v>
      </c>
      <c r="L76" s="107">
        <f>J76+K76</f>
        <v>24.001199999999997</v>
      </c>
    </row>
    <row r="77" spans="2:12" ht="12.75">
      <c r="B77" s="82" t="s">
        <v>173</v>
      </c>
      <c r="C77" s="146" t="s">
        <v>77</v>
      </c>
      <c r="D77" s="84">
        <v>0.845</v>
      </c>
      <c r="E77" s="84">
        <v>1.625</v>
      </c>
      <c r="F77" s="227">
        <f>D77+E77</f>
        <v>2.4699999999999998</v>
      </c>
      <c r="G77" s="84">
        <v>0.845</v>
      </c>
      <c r="H77" s="84">
        <v>1.625</v>
      </c>
      <c r="I77" s="227">
        <f>SUM(G77:H77)</f>
        <v>2.4699999999999998</v>
      </c>
      <c r="J77" s="88"/>
      <c r="K77" s="77"/>
      <c r="L77" s="107"/>
    </row>
    <row r="78" spans="2:12" ht="12.75">
      <c r="B78" s="58" t="s">
        <v>78</v>
      </c>
      <c r="C78" s="159" t="s">
        <v>79</v>
      </c>
      <c r="D78" s="60">
        <v>0.672</v>
      </c>
      <c r="E78" s="60">
        <v>1.476</v>
      </c>
      <c r="F78" s="61">
        <v>2.15</v>
      </c>
      <c r="G78" s="60">
        <v>0.73</v>
      </c>
      <c r="H78" s="60">
        <v>1.54</v>
      </c>
      <c r="I78" s="87">
        <v>2.27</v>
      </c>
      <c r="J78" s="88"/>
      <c r="K78" s="77"/>
      <c r="L78" s="107"/>
    </row>
    <row r="79" spans="2:12" ht="12.75">
      <c r="B79" s="89"/>
      <c r="C79" s="30" t="s">
        <v>174</v>
      </c>
      <c r="D79" s="31">
        <v>1.236</v>
      </c>
      <c r="E79" s="31">
        <v>1.776</v>
      </c>
      <c r="F79" s="67">
        <v>3.02</v>
      </c>
      <c r="G79" s="29">
        <v>1.3</v>
      </c>
      <c r="H79" s="29">
        <v>1.84</v>
      </c>
      <c r="I79" s="68">
        <v>3.14</v>
      </c>
      <c r="J79" s="88"/>
      <c r="K79" s="77"/>
      <c r="L79" s="107"/>
    </row>
    <row r="80" spans="2:12" ht="12.75">
      <c r="B80" s="89"/>
      <c r="C80" s="30" t="s">
        <v>154</v>
      </c>
      <c r="D80" s="31">
        <v>0.8160000000000001</v>
      </c>
      <c r="E80" s="31">
        <v>1.452</v>
      </c>
      <c r="F80" s="67">
        <v>2.27</v>
      </c>
      <c r="G80" s="29">
        <v>0.88</v>
      </c>
      <c r="H80" s="29">
        <v>1.51</v>
      </c>
      <c r="I80" s="68">
        <v>2.39</v>
      </c>
      <c r="J80" s="88"/>
      <c r="K80" s="77"/>
      <c r="L80" s="107"/>
    </row>
    <row r="81" spans="2:12" ht="12.75">
      <c r="B81" s="90"/>
      <c r="C81" s="120" t="s">
        <v>155</v>
      </c>
      <c r="D81" s="92">
        <v>1.116</v>
      </c>
      <c r="E81" s="92">
        <v>1.6680000000000001</v>
      </c>
      <c r="F81" s="74">
        <v>2.79</v>
      </c>
      <c r="G81" s="73">
        <v>1.18</v>
      </c>
      <c r="H81" s="73">
        <v>1.73</v>
      </c>
      <c r="I81" s="75">
        <v>2.91</v>
      </c>
      <c r="J81" s="88"/>
      <c r="K81" s="77"/>
      <c r="L81" s="107"/>
    </row>
    <row r="82" spans="2:12" ht="12.75">
      <c r="B82" s="28" t="s">
        <v>80</v>
      </c>
      <c r="C82" s="28" t="s">
        <v>81</v>
      </c>
      <c r="D82" s="29">
        <v>1.45</v>
      </c>
      <c r="E82" s="29">
        <v>1.69</v>
      </c>
      <c r="F82" s="67">
        <f>D82+E82</f>
        <v>3.1399999999999997</v>
      </c>
      <c r="G82" s="29">
        <v>1.45</v>
      </c>
      <c r="H82" s="29">
        <v>1.69</v>
      </c>
      <c r="I82" s="67">
        <f>SUM(G82:H82)</f>
        <v>3.1399999999999997</v>
      </c>
      <c r="J82" s="77">
        <v>12.4</v>
      </c>
      <c r="K82" s="77">
        <v>15.3</v>
      </c>
      <c r="L82" s="107">
        <f>J82+K82</f>
        <v>27.700000000000003</v>
      </c>
    </row>
    <row r="83" spans="2:12" ht="12.75">
      <c r="B83" s="30" t="s">
        <v>82</v>
      </c>
      <c r="C83" s="30" t="s">
        <v>83</v>
      </c>
      <c r="D83" s="31">
        <v>0.86</v>
      </c>
      <c r="E83" s="31">
        <v>1.128</v>
      </c>
      <c r="F83" s="67">
        <f>D83+E83</f>
        <v>1.988</v>
      </c>
      <c r="G83" s="29">
        <v>0.86</v>
      </c>
      <c r="H83" s="29">
        <v>1.128</v>
      </c>
      <c r="I83" s="67">
        <f>SUM(G83:H83)</f>
        <v>1.988</v>
      </c>
      <c r="J83" s="77">
        <v>9</v>
      </c>
      <c r="K83" s="77">
        <v>12</v>
      </c>
      <c r="L83" s="107">
        <f>J83+K83</f>
        <v>21</v>
      </c>
    </row>
    <row r="84" spans="2:12" ht="12.75">
      <c r="B84" s="30" t="s">
        <v>84</v>
      </c>
      <c r="C84" s="30" t="s">
        <v>85</v>
      </c>
      <c r="D84" s="31">
        <v>0.92</v>
      </c>
      <c r="E84" s="31">
        <v>1.14</v>
      </c>
      <c r="F84" s="67">
        <f>D84+E84</f>
        <v>2.06</v>
      </c>
      <c r="G84" s="29">
        <v>0.92</v>
      </c>
      <c r="H84" s="29">
        <v>1.14</v>
      </c>
      <c r="I84" s="67">
        <f>SUM(G84:H84)</f>
        <v>2.06</v>
      </c>
      <c r="J84" s="77">
        <v>8</v>
      </c>
      <c r="K84" s="30">
        <v>10.62</v>
      </c>
      <c r="L84" s="107">
        <f>J84+K84</f>
        <v>18.619999999999997</v>
      </c>
    </row>
    <row r="85" spans="2:12" ht="12.75">
      <c r="B85" s="1"/>
      <c r="C85" s="1"/>
      <c r="D85" s="1"/>
      <c r="E85" s="1"/>
      <c r="F85" s="1"/>
      <c r="J85" s="126"/>
      <c r="K85" s="126"/>
      <c r="L85" s="126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</sheetData>
  <sheetProtection selectLockedCells="1" selectUnlockedCells="1"/>
  <mergeCells count="4">
    <mergeCell ref="B2:L2"/>
    <mergeCell ref="B3:L3"/>
    <mergeCell ref="D5:F5"/>
    <mergeCell ref="D72:F72"/>
  </mergeCells>
  <printOptions/>
  <pageMargins left="0.7479166666666667" right="0.39375" top="0.98402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">
      <selection activeCell="C26" sqref="C26:D26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284" t="s">
        <v>175</v>
      </c>
      <c r="C1" s="284"/>
      <c r="D1" s="284"/>
    </row>
    <row r="2" spans="2:5" ht="14.25">
      <c r="B2" s="285" t="s">
        <v>176</v>
      </c>
      <c r="C2" s="285"/>
      <c r="D2" s="285"/>
      <c r="E2" s="285"/>
    </row>
    <row r="3" spans="2:5" ht="12.75">
      <c r="B3" s="177"/>
      <c r="C3" s="177"/>
      <c r="D3" s="177"/>
      <c r="E3" s="172"/>
    </row>
    <row r="4" spans="2:4" ht="12.75">
      <c r="B4" s="178" t="s">
        <v>177</v>
      </c>
      <c r="C4" s="20" t="s">
        <v>178</v>
      </c>
      <c r="D4" s="20" t="s">
        <v>102</v>
      </c>
    </row>
    <row r="5" spans="2:4" ht="12.75">
      <c r="B5" s="157" t="s">
        <v>179</v>
      </c>
      <c r="C5" s="151">
        <v>0.51</v>
      </c>
      <c r="D5" s="151">
        <v>1.39</v>
      </c>
    </row>
    <row r="6" spans="2:4" ht="12.75">
      <c r="B6" s="157" t="s">
        <v>193</v>
      </c>
      <c r="C6" s="149">
        <v>1.07</v>
      </c>
      <c r="D6" s="151">
        <v>1.31</v>
      </c>
    </row>
    <row r="7" spans="2:4" ht="12.75">
      <c r="B7" s="157" t="s">
        <v>232</v>
      </c>
      <c r="C7" s="149">
        <v>0.87</v>
      </c>
      <c r="D7" s="151">
        <v>0.71</v>
      </c>
    </row>
    <row r="8" spans="2:4" ht="12.75">
      <c r="B8" s="157" t="s">
        <v>180</v>
      </c>
      <c r="C8" s="151">
        <v>0.92</v>
      </c>
      <c r="D8" s="151">
        <v>1.42</v>
      </c>
    </row>
    <row r="9" spans="2:4" ht="12.75">
      <c r="B9" s="157" t="s">
        <v>112</v>
      </c>
      <c r="C9" s="149">
        <v>1.01</v>
      </c>
      <c r="D9" s="149">
        <v>1.59</v>
      </c>
    </row>
    <row r="10" spans="2:4" ht="12.75">
      <c r="B10" s="157" t="s">
        <v>31</v>
      </c>
      <c r="C10" s="151">
        <v>0.85</v>
      </c>
      <c r="D10" s="151">
        <v>1.177</v>
      </c>
    </row>
    <row r="11" spans="2:4" ht="12.75">
      <c r="B11" s="146" t="s">
        <v>33</v>
      </c>
      <c r="C11" s="151">
        <v>0.71</v>
      </c>
      <c r="D11" s="151">
        <v>1</v>
      </c>
    </row>
    <row r="12" spans="2:4" ht="12.75">
      <c r="B12" s="157" t="s">
        <v>35</v>
      </c>
      <c r="C12" s="151">
        <v>0.84</v>
      </c>
      <c r="D12" s="151">
        <v>1.76</v>
      </c>
    </row>
    <row r="13" spans="2:4" ht="12.75">
      <c r="B13" s="157" t="s">
        <v>37</v>
      </c>
      <c r="C13" s="151">
        <v>0.91</v>
      </c>
      <c r="D13" s="151">
        <v>1.21</v>
      </c>
    </row>
    <row r="14" spans="2:4" ht="12.75">
      <c r="B14" s="157" t="s">
        <v>50</v>
      </c>
      <c r="C14" s="149">
        <v>1.132</v>
      </c>
      <c r="D14" s="149">
        <v>1.351</v>
      </c>
    </row>
    <row r="15" spans="2:4" ht="12.75">
      <c r="B15" s="157" t="s">
        <v>181</v>
      </c>
      <c r="C15" s="151">
        <v>0.59</v>
      </c>
      <c r="D15" s="151">
        <v>1.296</v>
      </c>
    </row>
    <row r="16" spans="2:4" ht="12.75">
      <c r="B16" s="157" t="s">
        <v>41</v>
      </c>
      <c r="C16" s="151">
        <v>1.06</v>
      </c>
      <c r="D16" s="151">
        <v>1.97</v>
      </c>
    </row>
    <row r="17" spans="2:4" ht="12.75">
      <c r="B17" s="157" t="s">
        <v>43</v>
      </c>
      <c r="C17" s="151">
        <v>1.32</v>
      </c>
      <c r="D17" s="151">
        <v>1.95</v>
      </c>
    </row>
    <row r="18" spans="2:4" ht="12.75">
      <c r="B18" s="157" t="s">
        <v>45</v>
      </c>
      <c r="C18" s="149">
        <v>0.92</v>
      </c>
      <c r="D18" s="149">
        <v>1.19</v>
      </c>
    </row>
    <row r="19" spans="2:4" ht="13.5" thickBot="1">
      <c r="B19" s="146" t="s">
        <v>182</v>
      </c>
      <c r="C19" s="153">
        <f>0.18+0.78</f>
        <v>0.96</v>
      </c>
      <c r="D19" s="153">
        <f>1.44+0.19</f>
        <v>1.63</v>
      </c>
    </row>
    <row r="20" spans="2:4" ht="13.5" thickBot="1">
      <c r="B20" s="239" t="s">
        <v>210</v>
      </c>
      <c r="C20" s="240">
        <f>SUM(AVERAGE(C5:C19,C21:C38))</f>
        <v>0.9270000000000002</v>
      </c>
      <c r="D20" s="241">
        <f>AVERAGE(D5:D19,D21:D38)</f>
        <v>1.3317575757575753</v>
      </c>
    </row>
    <row r="21" spans="2:4" ht="12.75">
      <c r="B21" s="148" t="s">
        <v>49</v>
      </c>
      <c r="C21" s="220">
        <v>0.96</v>
      </c>
      <c r="D21" s="220">
        <v>1.37</v>
      </c>
    </row>
    <row r="22" spans="2:4" ht="12.75">
      <c r="B22" s="146" t="s">
        <v>51</v>
      </c>
      <c r="C22" s="151">
        <v>0.82</v>
      </c>
      <c r="D22" s="151">
        <v>1.16</v>
      </c>
    </row>
    <row r="23" spans="2:4" ht="12.75">
      <c r="B23" s="157" t="s">
        <v>53</v>
      </c>
      <c r="C23" s="151">
        <f>0.9+0.15</f>
        <v>1.05</v>
      </c>
      <c r="D23" s="151">
        <f>1.44+0.15</f>
        <v>1.5899999999999999</v>
      </c>
    </row>
    <row r="24" spans="2:4" ht="12.75">
      <c r="B24" s="157" t="s">
        <v>132</v>
      </c>
      <c r="C24" s="149">
        <v>1.06</v>
      </c>
      <c r="D24" s="149">
        <v>1.47</v>
      </c>
    </row>
    <row r="25" spans="2:4" ht="12.75">
      <c r="B25" s="270" t="s">
        <v>183</v>
      </c>
      <c r="C25" s="271">
        <v>0.63</v>
      </c>
      <c r="D25" s="271">
        <v>1.08</v>
      </c>
    </row>
    <row r="26" spans="2:4" ht="12.75">
      <c r="B26" s="157" t="s">
        <v>184</v>
      </c>
      <c r="C26" s="280">
        <v>0.832</v>
      </c>
      <c r="D26" s="280">
        <v>1.208</v>
      </c>
    </row>
    <row r="27" spans="2:4" ht="12.75">
      <c r="B27" s="157" t="s">
        <v>185</v>
      </c>
      <c r="C27" s="151">
        <v>0.89</v>
      </c>
      <c r="D27" s="151">
        <v>0.729</v>
      </c>
    </row>
    <row r="28" spans="2:4" ht="12.75">
      <c r="B28" s="157" t="s">
        <v>186</v>
      </c>
      <c r="C28" s="151">
        <v>0.85</v>
      </c>
      <c r="D28" s="151">
        <v>1.128</v>
      </c>
    </row>
    <row r="29" spans="2:4" ht="12.75">
      <c r="B29" s="157" t="s">
        <v>65</v>
      </c>
      <c r="C29" s="149">
        <v>0.81</v>
      </c>
      <c r="D29" s="149">
        <v>0.69</v>
      </c>
    </row>
    <row r="30" spans="2:4" ht="12.75">
      <c r="B30" s="157" t="s">
        <v>148</v>
      </c>
      <c r="C30" s="149">
        <v>1.07</v>
      </c>
      <c r="D30" s="151">
        <v>2.03</v>
      </c>
    </row>
    <row r="31" spans="2:4" ht="12.75">
      <c r="B31" s="148" t="s">
        <v>187</v>
      </c>
      <c r="C31" s="143">
        <v>1.152</v>
      </c>
      <c r="D31" s="143">
        <v>0.936</v>
      </c>
    </row>
    <row r="32" spans="2:4" ht="12.75">
      <c r="B32" s="157" t="s">
        <v>72</v>
      </c>
      <c r="C32" s="151">
        <v>1.28</v>
      </c>
      <c r="D32" s="151">
        <v>1.62</v>
      </c>
    </row>
    <row r="33" spans="2:4" ht="12.75">
      <c r="B33" s="157" t="s">
        <v>74</v>
      </c>
      <c r="C33" s="151">
        <v>0.71</v>
      </c>
      <c r="D33" s="151">
        <v>0.86</v>
      </c>
    </row>
    <row r="34" spans="2:4" ht="12.75">
      <c r="B34" s="157" t="s">
        <v>153</v>
      </c>
      <c r="C34" s="151">
        <v>0.845</v>
      </c>
      <c r="D34" s="151">
        <v>1.625</v>
      </c>
    </row>
    <row r="35" spans="2:4" ht="12.75">
      <c r="B35" s="157" t="s">
        <v>188</v>
      </c>
      <c r="C35" s="149">
        <v>0.73</v>
      </c>
      <c r="D35" s="149">
        <v>1.54</v>
      </c>
    </row>
    <row r="36" spans="2:4" ht="12.75">
      <c r="B36" s="157" t="s">
        <v>189</v>
      </c>
      <c r="C36" s="151">
        <v>1.45</v>
      </c>
      <c r="D36" s="151">
        <v>1.69</v>
      </c>
    </row>
    <row r="37" spans="2:4" ht="12.75">
      <c r="B37" s="157" t="s">
        <v>82</v>
      </c>
      <c r="C37" s="151">
        <v>0.86</v>
      </c>
      <c r="D37" s="151">
        <v>1.128</v>
      </c>
    </row>
    <row r="38" spans="2:4" ht="12.75">
      <c r="B38" s="157" t="s">
        <v>84</v>
      </c>
      <c r="C38" s="151">
        <v>0.92</v>
      </c>
      <c r="D38" s="151">
        <v>1.14</v>
      </c>
    </row>
    <row r="39" spans="2:4" ht="12.75">
      <c r="B39" s="3"/>
      <c r="C39" s="179"/>
      <c r="D39" s="179"/>
    </row>
  </sheetData>
  <sheetProtection selectLockedCells="1" selectUnlockedCells="1"/>
  <mergeCells count="2">
    <mergeCell ref="B1:D1"/>
    <mergeCell ref="B2:E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0" style="0" hidden="1" customWidth="1"/>
    <col min="6" max="6" width="0" style="0" hidden="1" customWidth="1"/>
  </cols>
  <sheetData>
    <row r="1" spans="2:6" ht="12.75">
      <c r="B1" s="284" t="s">
        <v>190</v>
      </c>
      <c r="C1" s="284"/>
      <c r="D1" s="284"/>
      <c r="E1" s="284"/>
      <c r="F1" s="284"/>
    </row>
    <row r="2" spans="2:6" ht="14.25">
      <c r="B2" s="284" t="s">
        <v>191</v>
      </c>
      <c r="C2" s="284"/>
      <c r="D2" s="284"/>
      <c r="E2" s="284"/>
      <c r="F2" s="284"/>
    </row>
    <row r="3" spans="2:6" ht="12.75">
      <c r="B3" s="130"/>
      <c r="C3" s="130"/>
      <c r="D3" s="130"/>
      <c r="E3" s="130"/>
      <c r="F3" s="130"/>
    </row>
    <row r="4" spans="2:6" ht="12.75">
      <c r="B4" s="180"/>
      <c r="C4" s="180"/>
      <c r="D4" s="180" t="s">
        <v>192</v>
      </c>
      <c r="E4" s="181" t="s">
        <v>3</v>
      </c>
      <c r="F4" s="130"/>
    </row>
    <row r="5" spans="2:6" ht="12.75">
      <c r="B5" s="140" t="s">
        <v>24</v>
      </c>
      <c r="C5" s="140" t="s">
        <v>25</v>
      </c>
      <c r="D5" s="149">
        <v>0.51</v>
      </c>
      <c r="E5" s="151">
        <v>1.39</v>
      </c>
      <c r="F5" s="182"/>
    </row>
    <row r="6" spans="2:6" ht="13.5" customHeight="1">
      <c r="B6" s="140" t="s">
        <v>193</v>
      </c>
      <c r="C6" s="140"/>
      <c r="D6" s="149">
        <v>1.07</v>
      </c>
      <c r="E6" s="151">
        <v>1.31</v>
      </c>
      <c r="F6" s="182"/>
    </row>
    <row r="7" spans="2:6" ht="13.5" customHeight="1">
      <c r="B7" s="140" t="s">
        <v>232</v>
      </c>
      <c r="C7" s="140"/>
      <c r="D7" s="149">
        <v>0</v>
      </c>
      <c r="E7" s="151">
        <v>0</v>
      </c>
      <c r="F7" s="182"/>
    </row>
    <row r="8" spans="2:6" ht="13.5" customHeight="1">
      <c r="B8" s="140" t="s">
        <v>50</v>
      </c>
      <c r="C8" s="140"/>
      <c r="D8" s="149">
        <v>1.13</v>
      </c>
      <c r="E8" s="151">
        <v>1.35</v>
      </c>
      <c r="F8" s="182"/>
    </row>
    <row r="9" spans="2:6" ht="12.75">
      <c r="B9" s="140" t="s">
        <v>180</v>
      </c>
      <c r="C9" s="140" t="s">
        <v>27</v>
      </c>
      <c r="D9" s="149">
        <v>1.1</v>
      </c>
      <c r="E9" s="151">
        <v>1.7</v>
      </c>
      <c r="F9" s="183">
        <f aca="true" t="shared" si="0" ref="F9:F36">D9+E9</f>
        <v>2.8</v>
      </c>
    </row>
    <row r="10" spans="2:6" ht="12.75">
      <c r="B10" s="140" t="s">
        <v>112</v>
      </c>
      <c r="C10" s="140" t="s">
        <v>30</v>
      </c>
      <c r="D10" s="149">
        <v>0.98</v>
      </c>
      <c r="E10" s="149">
        <v>1.56</v>
      </c>
      <c r="F10" s="183">
        <f t="shared" si="0"/>
        <v>2.54</v>
      </c>
    </row>
    <row r="11" spans="2:6" ht="12.75">
      <c r="B11" s="140" t="s">
        <v>31</v>
      </c>
      <c r="C11" s="140" t="s">
        <v>32</v>
      </c>
      <c r="D11" s="149">
        <v>0.85</v>
      </c>
      <c r="E11" s="151">
        <v>1.7</v>
      </c>
      <c r="F11" s="183">
        <f t="shared" si="0"/>
        <v>2.55</v>
      </c>
    </row>
    <row r="12" spans="2:6" ht="12.75">
      <c r="B12" s="140" t="s">
        <v>33</v>
      </c>
      <c r="C12" s="140"/>
      <c r="D12" s="149">
        <v>0.432</v>
      </c>
      <c r="E12" s="151">
        <v>1.03</v>
      </c>
      <c r="F12" s="183">
        <f t="shared" si="0"/>
        <v>1.462</v>
      </c>
    </row>
    <row r="13" spans="2:6" ht="12.75">
      <c r="B13" s="140" t="s">
        <v>35</v>
      </c>
      <c r="C13" s="140" t="s">
        <v>36</v>
      </c>
      <c r="D13" s="149">
        <v>0.84</v>
      </c>
      <c r="E13" s="151">
        <v>1.76</v>
      </c>
      <c r="F13" s="183">
        <f t="shared" si="0"/>
        <v>2.6</v>
      </c>
    </row>
    <row r="14" spans="2:6" ht="12.75">
      <c r="B14" s="140" t="s">
        <v>37</v>
      </c>
      <c r="C14" s="140" t="s">
        <v>38</v>
      </c>
      <c r="D14" s="149">
        <v>0.91</v>
      </c>
      <c r="E14" s="151">
        <v>1.21</v>
      </c>
      <c r="F14" s="183">
        <f t="shared" si="0"/>
        <v>2.12</v>
      </c>
    </row>
    <row r="15" spans="2:6" ht="12.75">
      <c r="B15" s="140" t="s">
        <v>194</v>
      </c>
      <c r="C15" s="140" t="s">
        <v>163</v>
      </c>
      <c r="D15" s="149">
        <v>1.048</v>
      </c>
      <c r="E15" s="151">
        <v>1.048</v>
      </c>
      <c r="F15" s="183">
        <f t="shared" si="0"/>
        <v>2.096</v>
      </c>
    </row>
    <row r="16" spans="2:6" ht="12.75">
      <c r="B16" s="140" t="s">
        <v>195</v>
      </c>
      <c r="C16" s="140" t="s">
        <v>42</v>
      </c>
      <c r="D16" s="149">
        <v>1.27</v>
      </c>
      <c r="E16" s="151">
        <v>2.36</v>
      </c>
      <c r="F16" s="183"/>
    </row>
    <row r="17" spans="2:6" ht="12.75">
      <c r="B17" s="140" t="s">
        <v>43</v>
      </c>
      <c r="C17" s="140"/>
      <c r="D17" s="149">
        <v>1.32</v>
      </c>
      <c r="E17" s="151">
        <v>1.96</v>
      </c>
      <c r="F17" s="183"/>
    </row>
    <row r="18" spans="2:6" ht="12.75">
      <c r="B18" s="140" t="s">
        <v>196</v>
      </c>
      <c r="C18" s="140" t="s">
        <v>46</v>
      </c>
      <c r="D18" s="149">
        <v>1.02</v>
      </c>
      <c r="E18" s="149">
        <v>1.39</v>
      </c>
      <c r="F18" s="183">
        <f t="shared" si="0"/>
        <v>2.41</v>
      </c>
    </row>
    <row r="19" spans="2:6" ht="12.75">
      <c r="B19" s="140" t="s">
        <v>197</v>
      </c>
      <c r="C19" s="140"/>
      <c r="D19" s="149">
        <v>1.21</v>
      </c>
      <c r="E19" s="149">
        <v>1.58</v>
      </c>
      <c r="F19" s="183"/>
    </row>
    <row r="20" spans="2:6" ht="12.75">
      <c r="B20" s="140" t="s">
        <v>49</v>
      </c>
      <c r="C20" s="140"/>
      <c r="D20" s="149">
        <v>0.96</v>
      </c>
      <c r="E20" s="149">
        <v>1.37</v>
      </c>
      <c r="F20" s="183"/>
    </row>
    <row r="21" spans="2:6" ht="12.75">
      <c r="B21" s="140" t="s">
        <v>51</v>
      </c>
      <c r="C21" s="140" t="s">
        <v>52</v>
      </c>
      <c r="D21" s="149">
        <v>0.95</v>
      </c>
      <c r="E21" s="151">
        <v>1.36</v>
      </c>
      <c r="F21" s="183" t="e">
        <f>#REF!+#REF!</f>
        <v>#REF!</v>
      </c>
    </row>
    <row r="22" spans="2:6" ht="12.75">
      <c r="B22" s="140" t="s">
        <v>53</v>
      </c>
      <c r="C22" s="140" t="s">
        <v>54</v>
      </c>
      <c r="D22" s="149">
        <v>1.09</v>
      </c>
      <c r="E22" s="151">
        <v>2.17</v>
      </c>
      <c r="F22" s="183">
        <f>D21+E21</f>
        <v>2.31</v>
      </c>
    </row>
    <row r="23" spans="2:6" ht="12.75">
      <c r="B23" s="140" t="s">
        <v>132</v>
      </c>
      <c r="C23" s="140" t="s">
        <v>56</v>
      </c>
      <c r="D23" s="211">
        <v>1.06</v>
      </c>
      <c r="E23" s="212">
        <v>1.47</v>
      </c>
      <c r="F23" s="183">
        <f>D22+E22</f>
        <v>3.26</v>
      </c>
    </row>
    <row r="24" spans="2:6" ht="12.75">
      <c r="B24" s="272" t="s">
        <v>198</v>
      </c>
      <c r="C24" s="272" t="s">
        <v>133</v>
      </c>
      <c r="D24" s="273">
        <v>0.99</v>
      </c>
      <c r="E24" s="271">
        <v>1.29</v>
      </c>
      <c r="F24" s="183">
        <f t="shared" si="0"/>
        <v>2.2800000000000002</v>
      </c>
    </row>
    <row r="25" spans="2:6" ht="12.75">
      <c r="B25" s="140" t="s">
        <v>199</v>
      </c>
      <c r="C25" s="140" t="s">
        <v>60</v>
      </c>
      <c r="D25" s="149">
        <v>0.83</v>
      </c>
      <c r="E25" s="151">
        <v>1.208</v>
      </c>
      <c r="F25" s="183">
        <f t="shared" si="0"/>
        <v>2.038</v>
      </c>
    </row>
    <row r="26" spans="2:6" ht="12.75">
      <c r="B26" s="140" t="s">
        <v>185</v>
      </c>
      <c r="C26" s="140" t="s">
        <v>200</v>
      </c>
      <c r="D26" s="149">
        <v>0.89</v>
      </c>
      <c r="E26" s="151">
        <v>0.73</v>
      </c>
      <c r="F26" s="183">
        <f t="shared" si="0"/>
        <v>1.62</v>
      </c>
    </row>
    <row r="27" spans="2:6" ht="12.75">
      <c r="B27" s="140" t="s">
        <v>186</v>
      </c>
      <c r="C27" s="140" t="s">
        <v>201</v>
      </c>
      <c r="D27" s="149">
        <v>0.85</v>
      </c>
      <c r="E27" s="151">
        <v>1.128</v>
      </c>
      <c r="F27" s="184">
        <f t="shared" si="0"/>
        <v>1.9779999999999998</v>
      </c>
    </row>
    <row r="28" spans="2:6" ht="12.75">
      <c r="B28" s="140" t="s">
        <v>65</v>
      </c>
      <c r="C28" s="140" t="s">
        <v>66</v>
      </c>
      <c r="D28" s="149">
        <v>0.78</v>
      </c>
      <c r="E28" s="149">
        <v>0.81</v>
      </c>
      <c r="F28" s="183">
        <f t="shared" si="0"/>
        <v>1.59</v>
      </c>
    </row>
    <row r="29" spans="2:6" ht="12.75">
      <c r="B29" s="140" t="s">
        <v>148</v>
      </c>
      <c r="C29" s="140" t="s">
        <v>68</v>
      </c>
      <c r="D29" s="149">
        <v>1.07</v>
      </c>
      <c r="E29" s="151">
        <v>2.03</v>
      </c>
      <c r="F29" s="183">
        <f t="shared" si="0"/>
        <v>3.0999999999999996</v>
      </c>
    </row>
    <row r="30" spans="2:6" ht="12.75">
      <c r="B30" s="140" t="s">
        <v>172</v>
      </c>
      <c r="C30" s="140" t="s">
        <v>71</v>
      </c>
      <c r="D30" s="213">
        <v>2.78</v>
      </c>
      <c r="E30" s="213">
        <v>2.06</v>
      </c>
      <c r="F30" s="183">
        <f t="shared" si="0"/>
        <v>4.84</v>
      </c>
    </row>
    <row r="31" spans="2:6" ht="12.75">
      <c r="B31" s="140" t="s">
        <v>72</v>
      </c>
      <c r="C31" s="140" t="s">
        <v>73</v>
      </c>
      <c r="D31" s="149">
        <v>1.51</v>
      </c>
      <c r="E31" s="151">
        <v>1.91</v>
      </c>
      <c r="F31" s="183">
        <f t="shared" si="0"/>
        <v>3.42</v>
      </c>
    </row>
    <row r="32" spans="2:6" ht="12.75">
      <c r="B32" s="140" t="s">
        <v>202</v>
      </c>
      <c r="C32" s="140" t="s">
        <v>75</v>
      </c>
      <c r="D32" s="149">
        <v>0.71</v>
      </c>
      <c r="E32" s="151">
        <v>0.86</v>
      </c>
      <c r="F32" s="183">
        <f t="shared" si="0"/>
        <v>1.5699999999999998</v>
      </c>
    </row>
    <row r="33" spans="2:18" ht="12.75">
      <c r="B33" s="140" t="s">
        <v>76</v>
      </c>
      <c r="C33" s="140" t="s">
        <v>118</v>
      </c>
      <c r="D33" s="149">
        <v>0.845</v>
      </c>
      <c r="E33" s="151">
        <v>1.625</v>
      </c>
      <c r="F33" s="183">
        <f t="shared" si="0"/>
        <v>2.4699999999999998</v>
      </c>
      <c r="R33">
        <f>SUM(E5:E37)</f>
        <v>46.08699999999999</v>
      </c>
    </row>
    <row r="34" spans="2:18" ht="12.75">
      <c r="B34" s="140" t="s">
        <v>188</v>
      </c>
      <c r="C34" s="140" t="s">
        <v>79</v>
      </c>
      <c r="D34" s="144">
        <v>0.59</v>
      </c>
      <c r="E34" s="144">
        <v>0.76</v>
      </c>
      <c r="F34" s="183">
        <f t="shared" si="0"/>
        <v>1.35</v>
      </c>
      <c r="R34">
        <f>SUM(R33/32)</f>
        <v>1.4402187499999997</v>
      </c>
    </row>
    <row r="35" spans="2:6" ht="12.75">
      <c r="B35" s="140" t="s">
        <v>80</v>
      </c>
      <c r="C35" s="140" t="s">
        <v>81</v>
      </c>
      <c r="D35" s="144">
        <v>1.45</v>
      </c>
      <c r="E35" s="140">
        <v>1.69</v>
      </c>
      <c r="F35" s="183">
        <f t="shared" si="0"/>
        <v>3.1399999999999997</v>
      </c>
    </row>
    <row r="36" spans="2:6" ht="12.75">
      <c r="B36" s="140" t="s">
        <v>82</v>
      </c>
      <c r="C36" s="140" t="s">
        <v>83</v>
      </c>
      <c r="D36" s="144">
        <v>0.86</v>
      </c>
      <c r="E36" s="140">
        <v>1.128</v>
      </c>
      <c r="F36" s="183">
        <f t="shared" si="0"/>
        <v>1.988</v>
      </c>
    </row>
    <row r="37" spans="2:6" ht="13.5" thickBot="1">
      <c r="B37" s="228" t="s">
        <v>84</v>
      </c>
      <c r="C37" s="228" t="s">
        <v>85</v>
      </c>
      <c r="D37" s="229">
        <v>0.92</v>
      </c>
      <c r="E37" s="228">
        <v>1.14</v>
      </c>
      <c r="F37" s="183"/>
    </row>
    <row r="38" spans="2:6" ht="13.5" thickBot="1">
      <c r="B38" s="233" t="s">
        <v>210</v>
      </c>
      <c r="C38" s="234"/>
      <c r="D38" s="235">
        <f>AVERAGE(D5:D37)</f>
        <v>0.9946969696969697</v>
      </c>
      <c r="E38" s="236">
        <f>AVERAGE(E5:E37)</f>
        <v>1.3965757575757571</v>
      </c>
      <c r="F38" s="183"/>
    </row>
    <row r="39" spans="2:6" ht="12.75">
      <c r="B39" s="230"/>
      <c r="C39" s="231"/>
      <c r="D39" s="232"/>
      <c r="E39" s="231"/>
      <c r="F39" s="183"/>
    </row>
    <row r="40" spans="2:6" ht="12.75">
      <c r="B40" s="141"/>
      <c r="C40" s="185"/>
      <c r="D40" s="185"/>
      <c r="E40" s="185"/>
      <c r="F40" s="183">
        <f>D37+E37</f>
        <v>2.06</v>
      </c>
    </row>
    <row r="41" spans="2:5" ht="12.75">
      <c r="B41" s="1"/>
      <c r="D41" s="179"/>
      <c r="E41" s="179"/>
    </row>
    <row r="47" ht="12.75">
      <c r="L47" t="s">
        <v>147</v>
      </c>
    </row>
  </sheetData>
  <sheetProtection selectLockedCells="1" selectUnlockedCells="1"/>
  <mergeCells count="2">
    <mergeCell ref="B1:F1"/>
    <mergeCell ref="B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L1:P35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.8515625" style="0" customWidth="1"/>
    <col min="11" max="11" width="9.57421875" style="0" customWidth="1"/>
    <col min="12" max="12" width="27.8515625" style="0" customWidth="1"/>
    <col min="13" max="13" width="8.28125" style="0" customWidth="1"/>
    <col min="14" max="14" width="8.8515625" style="0" customWidth="1"/>
  </cols>
  <sheetData>
    <row r="1" spans="12:14" ht="14.25">
      <c r="L1" s="186" t="s">
        <v>205</v>
      </c>
      <c r="M1" s="187"/>
      <c r="N1" s="188"/>
    </row>
    <row r="2" spans="12:14" ht="12.75">
      <c r="L2" s="126"/>
      <c r="M2" s="199" t="s">
        <v>206</v>
      </c>
      <c r="N2" s="199" t="s">
        <v>207</v>
      </c>
    </row>
    <row r="3" spans="12:14" ht="12.75">
      <c r="L3" s="190" t="s">
        <v>65</v>
      </c>
      <c r="M3" s="191">
        <v>18.15</v>
      </c>
      <c r="N3" s="191">
        <v>23.02</v>
      </c>
    </row>
    <row r="4" spans="12:14" ht="12.75">
      <c r="L4" s="190" t="s">
        <v>74</v>
      </c>
      <c r="M4" s="237">
        <v>20.34</v>
      </c>
      <c r="N4" s="237">
        <v>22.81</v>
      </c>
    </row>
    <row r="5" spans="12:14" ht="12.75">
      <c r="L5" s="145" t="s">
        <v>232</v>
      </c>
      <c r="M5" s="237">
        <v>24.66</v>
      </c>
      <c r="N5" s="237">
        <v>0</v>
      </c>
    </row>
    <row r="6" spans="12:14" ht="12.75">
      <c r="L6" s="145" t="s">
        <v>208</v>
      </c>
      <c r="M6" s="278">
        <v>21.59</v>
      </c>
      <c r="N6" s="278">
        <v>28.79</v>
      </c>
    </row>
    <row r="7" spans="12:14" ht="12.75">
      <c r="L7" s="190" t="s">
        <v>49</v>
      </c>
      <c r="M7" s="237">
        <v>24.99</v>
      </c>
      <c r="N7" s="237">
        <v>33.32</v>
      </c>
    </row>
    <row r="8" spans="12:14" ht="12.75">
      <c r="L8" s="190" t="s">
        <v>61</v>
      </c>
      <c r="M8" s="237">
        <v>20.99</v>
      </c>
      <c r="N8" s="237">
        <v>22.82</v>
      </c>
    </row>
    <row r="9" spans="12:14" ht="12.75">
      <c r="L9" s="190" t="s">
        <v>84</v>
      </c>
      <c r="M9" s="237">
        <v>13.23</v>
      </c>
      <c r="N9" s="237">
        <v>14.32</v>
      </c>
    </row>
    <row r="10" spans="12:14" ht="12.75">
      <c r="L10" s="145" t="s">
        <v>33</v>
      </c>
      <c r="M10" s="237">
        <v>22.31</v>
      </c>
      <c r="N10" s="237">
        <v>19.14</v>
      </c>
    </row>
    <row r="11" spans="12:14" ht="12.75">
      <c r="L11" s="190" t="s">
        <v>82</v>
      </c>
      <c r="M11" s="237">
        <v>25.1</v>
      </c>
      <c r="N11" s="237">
        <v>29.73</v>
      </c>
    </row>
    <row r="12" spans="12:14" ht="12.75">
      <c r="L12" s="190" t="s">
        <v>78</v>
      </c>
      <c r="M12" s="237">
        <v>23.38</v>
      </c>
      <c r="N12" s="237">
        <v>29.41</v>
      </c>
    </row>
    <row r="13" spans="12:14" ht="12.75">
      <c r="L13" s="190" t="s">
        <v>39</v>
      </c>
      <c r="M13" s="237">
        <v>24.19</v>
      </c>
      <c r="N13" s="237">
        <v>26.04</v>
      </c>
    </row>
    <row r="14" spans="12:14" ht="12.75">
      <c r="L14" s="190" t="s">
        <v>37</v>
      </c>
      <c r="M14" s="237">
        <v>28.75</v>
      </c>
      <c r="N14" s="237">
        <v>27.52</v>
      </c>
    </row>
    <row r="15" spans="12:14" ht="12.75">
      <c r="L15" s="190" t="s">
        <v>209</v>
      </c>
      <c r="M15" s="237">
        <v>24.79</v>
      </c>
      <c r="N15" s="237">
        <v>28.08</v>
      </c>
    </row>
    <row r="16" spans="12:14" ht="12.75">
      <c r="L16" s="190" t="s">
        <v>63</v>
      </c>
      <c r="M16" s="237">
        <v>25.61</v>
      </c>
      <c r="N16" s="237">
        <v>25.89</v>
      </c>
    </row>
    <row r="17" spans="12:14" ht="12.75">
      <c r="L17" s="145" t="s">
        <v>29</v>
      </c>
      <c r="M17" s="237">
        <v>29.29</v>
      </c>
      <c r="N17" s="237">
        <v>33.61</v>
      </c>
    </row>
    <row r="18" spans="12:16" ht="12.75">
      <c r="L18" s="145" t="s">
        <v>28</v>
      </c>
      <c r="M18" s="237">
        <v>31.12</v>
      </c>
      <c r="N18" s="237">
        <v>0</v>
      </c>
      <c r="P18" t="s">
        <v>147</v>
      </c>
    </row>
    <row r="19" spans="12:14" ht="12.75">
      <c r="L19" s="190" t="s">
        <v>45</v>
      </c>
      <c r="M19" s="237">
        <v>25.48</v>
      </c>
      <c r="N19" s="237">
        <v>30.61</v>
      </c>
    </row>
    <row r="20" spans="12:14" ht="12.75">
      <c r="L20" s="190" t="s">
        <v>53</v>
      </c>
      <c r="M20" s="237">
        <v>32.23</v>
      </c>
      <c r="N20" s="237">
        <v>41.5</v>
      </c>
    </row>
    <row r="21" spans="12:14" ht="12.75">
      <c r="L21" s="190" t="s">
        <v>211</v>
      </c>
      <c r="M21" s="237">
        <v>45.68</v>
      </c>
      <c r="N21" s="237">
        <v>26.43</v>
      </c>
    </row>
    <row r="22" spans="12:14" ht="12.75">
      <c r="L22" s="190" t="s">
        <v>180</v>
      </c>
      <c r="M22" s="237">
        <v>34.23</v>
      </c>
      <c r="N22" s="237">
        <v>34.07</v>
      </c>
    </row>
    <row r="23" spans="12:14" ht="12.75">
      <c r="L23" s="190" t="s">
        <v>72</v>
      </c>
      <c r="M23" s="237">
        <v>31.53</v>
      </c>
      <c r="N23" s="237">
        <v>37.1</v>
      </c>
    </row>
    <row r="24" spans="12:14" ht="12.75">
      <c r="L24" s="190" t="s">
        <v>59</v>
      </c>
      <c r="M24" s="237">
        <v>27.26</v>
      </c>
      <c r="N24" s="237">
        <v>27.85</v>
      </c>
    </row>
    <row r="25" spans="12:14" ht="12.75">
      <c r="L25" s="190" t="s">
        <v>80</v>
      </c>
      <c r="M25" s="237">
        <v>31.72</v>
      </c>
      <c r="N25" s="237">
        <v>33.58</v>
      </c>
    </row>
    <row r="26" spans="12:14" ht="12.75">
      <c r="L26" s="145" t="s">
        <v>47</v>
      </c>
      <c r="M26" s="238">
        <v>30.71</v>
      </c>
      <c r="N26" s="238">
        <v>32.43</v>
      </c>
    </row>
    <row r="27" spans="12:16" ht="12.75">
      <c r="L27" s="190" t="s">
        <v>70</v>
      </c>
      <c r="M27" s="199">
        <v>27.23</v>
      </c>
      <c r="N27" s="199">
        <v>51.51</v>
      </c>
      <c r="P27" t="s">
        <v>147</v>
      </c>
    </row>
    <row r="28" spans="12:14" ht="12.75">
      <c r="L28" s="190" t="s">
        <v>55</v>
      </c>
      <c r="M28" s="238">
        <v>27.4</v>
      </c>
      <c r="N28" s="238">
        <v>37.54</v>
      </c>
    </row>
    <row r="29" spans="12:14" ht="12.75">
      <c r="L29" s="190" t="s">
        <v>35</v>
      </c>
      <c r="M29" s="237">
        <v>34.45</v>
      </c>
      <c r="N29" s="237">
        <v>33.91</v>
      </c>
    </row>
    <row r="30" spans="12:14" ht="12.75">
      <c r="L30" s="190" t="s">
        <v>212</v>
      </c>
      <c r="M30" s="237">
        <v>30.03</v>
      </c>
      <c r="N30" s="237">
        <v>31.73</v>
      </c>
    </row>
    <row r="31" spans="12:14" ht="12.75">
      <c r="L31" s="190" t="s">
        <v>41</v>
      </c>
      <c r="M31" s="237">
        <v>36.61</v>
      </c>
      <c r="N31" s="237">
        <v>46.82</v>
      </c>
    </row>
    <row r="32" spans="12:14" ht="12.75">
      <c r="L32" s="190" t="s">
        <v>51</v>
      </c>
      <c r="M32" s="191">
        <v>23.34</v>
      </c>
      <c r="N32" s="191">
        <v>30.78</v>
      </c>
    </row>
    <row r="33" spans="12:14" ht="12.75">
      <c r="L33" s="190" t="s">
        <v>148</v>
      </c>
      <c r="M33" s="237">
        <v>34.96</v>
      </c>
      <c r="N33" s="237">
        <v>119.85</v>
      </c>
    </row>
    <row r="34" spans="12:14" ht="12.75">
      <c r="L34" s="190" t="s">
        <v>213</v>
      </c>
      <c r="M34" s="237">
        <v>42.13</v>
      </c>
      <c r="N34" s="237">
        <v>42.18</v>
      </c>
    </row>
    <row r="35" spans="13:14" ht="12.75">
      <c r="M35" s="179"/>
      <c r="N35" s="1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0.421875" style="0" customWidth="1"/>
    <col min="2" max="2" width="8.421875" style="0" customWidth="1"/>
    <col min="4" max="4" width="8.421875" style="0" customWidth="1"/>
    <col min="6" max="6" width="8.7109375" style="0" customWidth="1"/>
    <col min="7" max="7" width="7.7109375" style="0" customWidth="1"/>
    <col min="8" max="8" width="8.7109375" style="0" customWidth="1"/>
    <col min="9" max="9" width="8.140625" style="0" customWidth="1"/>
    <col min="10" max="10" width="7.00390625" style="0" customWidth="1"/>
    <col min="11" max="11" width="7.57421875" style="0" customWidth="1"/>
    <col min="12" max="12" width="7.140625" style="0" customWidth="1"/>
    <col min="13" max="13" width="9.421875" style="0" customWidth="1"/>
    <col min="14" max="14" width="6.8515625" style="0" customWidth="1"/>
    <col min="15" max="15" width="7.421875" style="0" customWidth="1"/>
  </cols>
  <sheetData>
    <row r="1" spans="1:15" ht="14.25">
      <c r="A1" s="288" t="s">
        <v>214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3.5">
      <c r="A2" s="192"/>
      <c r="B2" s="289" t="s">
        <v>215</v>
      </c>
      <c r="C2" s="289"/>
      <c r="D2" s="289"/>
      <c r="E2" s="289"/>
      <c r="F2" s="289" t="s">
        <v>216</v>
      </c>
      <c r="G2" s="289"/>
      <c r="H2" s="289"/>
      <c r="I2" s="289"/>
      <c r="J2" s="290" t="s">
        <v>217</v>
      </c>
      <c r="K2" s="290"/>
      <c r="L2" s="290"/>
      <c r="M2" s="290"/>
      <c r="N2" s="193" t="s">
        <v>218</v>
      </c>
      <c r="O2" s="194"/>
    </row>
    <row r="3" spans="1:15" ht="13.5">
      <c r="A3" s="195" t="s">
        <v>219</v>
      </c>
      <c r="B3" s="289" t="s">
        <v>192</v>
      </c>
      <c r="C3" s="289"/>
      <c r="D3" s="289" t="s">
        <v>220</v>
      </c>
      <c r="E3" s="289"/>
      <c r="F3" s="289" t="s">
        <v>192</v>
      </c>
      <c r="G3" s="289"/>
      <c r="H3" s="289" t="s">
        <v>220</v>
      </c>
      <c r="I3" s="289"/>
      <c r="J3" s="289" t="s">
        <v>192</v>
      </c>
      <c r="K3" s="289"/>
      <c r="L3" s="290" t="s">
        <v>220</v>
      </c>
      <c r="M3" s="290"/>
      <c r="N3" s="291" t="s">
        <v>221</v>
      </c>
      <c r="O3" s="291"/>
    </row>
    <row r="4" spans="1:15" ht="12.75">
      <c r="A4" s="196"/>
      <c r="B4" s="197" t="s">
        <v>222</v>
      </c>
      <c r="C4" s="197" t="s">
        <v>223</v>
      </c>
      <c r="D4" s="197" t="s">
        <v>224</v>
      </c>
      <c r="E4" s="197" t="s">
        <v>223</v>
      </c>
      <c r="F4" s="197" t="s">
        <v>206</v>
      </c>
      <c r="G4" s="197" t="s">
        <v>223</v>
      </c>
      <c r="H4" s="197" t="s">
        <v>206</v>
      </c>
      <c r="I4" s="197" t="s">
        <v>223</v>
      </c>
      <c r="J4" s="189" t="s">
        <v>206</v>
      </c>
      <c r="K4" s="189" t="s">
        <v>223</v>
      </c>
      <c r="L4" s="189" t="s">
        <v>206</v>
      </c>
      <c r="M4" s="189" t="s">
        <v>223</v>
      </c>
      <c r="N4" s="189" t="s">
        <v>206</v>
      </c>
      <c r="O4" s="189" t="s">
        <v>223</v>
      </c>
    </row>
    <row r="5" spans="1:15" ht="12.75">
      <c r="A5" s="30" t="s">
        <v>24</v>
      </c>
      <c r="B5" s="189">
        <v>2846.1</v>
      </c>
      <c r="C5" s="189">
        <v>1099.2</v>
      </c>
      <c r="D5" s="189">
        <v>6488</v>
      </c>
      <c r="E5" s="189">
        <v>3285.4</v>
      </c>
      <c r="F5" s="189">
        <v>393.6</v>
      </c>
      <c r="G5" s="189">
        <v>159.1</v>
      </c>
      <c r="H5" s="189">
        <v>369.6</v>
      </c>
      <c r="I5" s="198">
        <v>155.2</v>
      </c>
      <c r="J5" s="199">
        <f>B5/F5</f>
        <v>7.230945121951219</v>
      </c>
      <c r="K5" s="199">
        <f>C5/G5</f>
        <v>6.908862350722816</v>
      </c>
      <c r="L5" s="199">
        <f>D5/H5</f>
        <v>17.554112554112553</v>
      </c>
      <c r="M5" s="199">
        <f>E5/I5</f>
        <v>21.16881443298969</v>
      </c>
      <c r="N5" s="191">
        <f>J5+L5</f>
        <v>24.785057676063772</v>
      </c>
      <c r="O5" s="191">
        <f>K5+M5</f>
        <v>28.07767678371251</v>
      </c>
    </row>
    <row r="6" spans="1:15" ht="12.75">
      <c r="A6" s="30" t="s">
        <v>28</v>
      </c>
      <c r="B6" s="189">
        <v>3976.5</v>
      </c>
      <c r="C6" s="189">
        <v>0</v>
      </c>
      <c r="D6" s="189">
        <v>3976.5</v>
      </c>
      <c r="E6" s="189">
        <v>0</v>
      </c>
      <c r="F6" s="189">
        <v>301</v>
      </c>
      <c r="G6" s="189">
        <v>0</v>
      </c>
      <c r="H6" s="189">
        <v>222</v>
      </c>
      <c r="I6" s="198">
        <v>0</v>
      </c>
      <c r="J6" s="199">
        <f>SUM(B6/F6)</f>
        <v>13.210963455149502</v>
      </c>
      <c r="K6" s="199" t="e">
        <f>SUM(C6/G6)</f>
        <v>#DIV/0!</v>
      </c>
      <c r="L6" s="199">
        <f>SUM(D6/H6)</f>
        <v>17.91216216216216</v>
      </c>
      <c r="M6" s="199" t="e">
        <f>SUM(E6/I6)</f>
        <v>#DIV/0!</v>
      </c>
      <c r="N6" s="191">
        <f>SUM(J6+L6)</f>
        <v>31.123125617311665</v>
      </c>
      <c r="O6" s="191" t="e">
        <f>SUM(K6+M6)</f>
        <v>#DIV/0!</v>
      </c>
    </row>
    <row r="7" spans="1:15" ht="12.75">
      <c r="A7" s="30" t="s">
        <v>232</v>
      </c>
      <c r="B7" s="189">
        <v>1276</v>
      </c>
      <c r="C7" s="189">
        <v>0</v>
      </c>
      <c r="D7" s="189">
        <v>975</v>
      </c>
      <c r="E7" s="189">
        <v>0</v>
      </c>
      <c r="F7" s="189">
        <v>94.17</v>
      </c>
      <c r="G7" s="189">
        <v>0</v>
      </c>
      <c r="H7" s="189">
        <v>87.74</v>
      </c>
      <c r="I7" s="198">
        <v>0</v>
      </c>
      <c r="J7" s="199">
        <f>SUM(B7/F7)</f>
        <v>13.549962833174046</v>
      </c>
      <c r="K7" s="199">
        <v>0</v>
      </c>
      <c r="L7" s="199">
        <f>SUM(D7/H7)</f>
        <v>11.112377478914977</v>
      </c>
      <c r="M7" s="199">
        <v>0</v>
      </c>
      <c r="N7" s="191">
        <f>SUM(J7+L7)</f>
        <v>24.66234031208902</v>
      </c>
      <c r="O7" s="191">
        <v>0</v>
      </c>
    </row>
    <row r="8" spans="1:15" ht="12.75">
      <c r="A8" s="30" t="s">
        <v>180</v>
      </c>
      <c r="B8" s="189">
        <v>536.3</v>
      </c>
      <c r="C8" s="189">
        <v>230.5</v>
      </c>
      <c r="D8" s="189">
        <v>1075.7</v>
      </c>
      <c r="E8" s="189">
        <v>316.1</v>
      </c>
      <c r="F8" s="189">
        <v>47.9</v>
      </c>
      <c r="G8" s="189">
        <v>16.7</v>
      </c>
      <c r="H8" s="189">
        <v>46.7</v>
      </c>
      <c r="I8" s="198">
        <v>15.6</v>
      </c>
      <c r="J8" s="199">
        <f aca="true" t="shared" si="0" ref="J8:M38">B8/F8</f>
        <v>11.19624217118998</v>
      </c>
      <c r="K8" s="199">
        <f t="shared" si="0"/>
        <v>13.802395209580839</v>
      </c>
      <c r="L8" s="199">
        <f t="shared" si="0"/>
        <v>23.03426124197002</v>
      </c>
      <c r="M8" s="199">
        <f t="shared" si="0"/>
        <v>20.262820512820515</v>
      </c>
      <c r="N8" s="191">
        <f>J8+L8</f>
        <v>34.23050341316</v>
      </c>
      <c r="O8" s="191">
        <f>K8+M8</f>
        <v>34.065215722401355</v>
      </c>
    </row>
    <row r="9" spans="1:15" ht="12.75">
      <c r="A9" s="30" t="s">
        <v>112</v>
      </c>
      <c r="B9" s="189">
        <v>939.4</v>
      </c>
      <c r="C9" s="189">
        <v>500.1</v>
      </c>
      <c r="D9" s="189">
        <v>1085.8</v>
      </c>
      <c r="E9" s="189">
        <v>870.1</v>
      </c>
      <c r="F9" s="189">
        <v>70</v>
      </c>
      <c r="G9" s="189">
        <v>38.2</v>
      </c>
      <c r="H9" s="189">
        <v>68.4</v>
      </c>
      <c r="I9" s="198">
        <v>42.4</v>
      </c>
      <c r="J9" s="199">
        <f t="shared" si="0"/>
        <v>13.42</v>
      </c>
      <c r="K9" s="199">
        <f t="shared" si="0"/>
        <v>13.091623036649214</v>
      </c>
      <c r="L9" s="199">
        <f t="shared" si="0"/>
        <v>15.874269005847951</v>
      </c>
      <c r="M9" s="199">
        <f t="shared" si="0"/>
        <v>20.52122641509434</v>
      </c>
      <c r="N9" s="191">
        <f>J9+L9</f>
        <v>29.29426900584795</v>
      </c>
      <c r="O9" s="191">
        <f aca="true" t="shared" si="1" ref="N9:O38">K9+M9</f>
        <v>33.61284945174356</v>
      </c>
    </row>
    <row r="10" spans="1:15" ht="12.75">
      <c r="A10" s="30" t="s">
        <v>31</v>
      </c>
      <c r="B10" s="189">
        <v>292</v>
      </c>
      <c r="C10" s="189">
        <v>60</v>
      </c>
      <c r="D10" s="189">
        <v>930</v>
      </c>
      <c r="E10" s="189">
        <v>202</v>
      </c>
      <c r="F10" s="189">
        <v>26</v>
      </c>
      <c r="G10" s="189">
        <v>5</v>
      </c>
      <c r="H10" s="189">
        <v>27</v>
      </c>
      <c r="I10" s="198">
        <v>14</v>
      </c>
      <c r="J10" s="199">
        <f t="shared" si="0"/>
        <v>11.23076923076923</v>
      </c>
      <c r="K10" s="199">
        <f t="shared" si="0"/>
        <v>12</v>
      </c>
      <c r="L10" s="199">
        <f t="shared" si="0"/>
        <v>34.44444444444444</v>
      </c>
      <c r="M10" s="199">
        <f t="shared" si="0"/>
        <v>14.428571428571429</v>
      </c>
      <c r="N10" s="191">
        <f t="shared" si="1"/>
        <v>45.67521367521367</v>
      </c>
      <c r="O10" s="191">
        <f t="shared" si="1"/>
        <v>26.42857142857143</v>
      </c>
    </row>
    <row r="11" spans="1:15" ht="12.75">
      <c r="A11" s="30" t="s">
        <v>33</v>
      </c>
      <c r="B11" s="189">
        <v>12579</v>
      </c>
      <c r="C11" s="189">
        <v>2388</v>
      </c>
      <c r="D11" s="189">
        <v>17122</v>
      </c>
      <c r="E11" s="189">
        <v>2234</v>
      </c>
      <c r="F11" s="189">
        <v>1369</v>
      </c>
      <c r="G11" s="189">
        <v>420</v>
      </c>
      <c r="H11" s="189">
        <v>1305</v>
      </c>
      <c r="I11" s="198">
        <v>166</v>
      </c>
      <c r="J11" s="199">
        <f t="shared" si="0"/>
        <v>9.188458728999269</v>
      </c>
      <c r="K11" s="199">
        <f t="shared" si="0"/>
        <v>5.685714285714286</v>
      </c>
      <c r="L11" s="199">
        <f t="shared" si="0"/>
        <v>13.120306513409961</v>
      </c>
      <c r="M11" s="199">
        <f t="shared" si="0"/>
        <v>13.457831325301205</v>
      </c>
      <c r="N11" s="191">
        <f t="shared" si="1"/>
        <v>22.30876524240923</v>
      </c>
      <c r="O11" s="191">
        <f t="shared" si="1"/>
        <v>19.14354561101549</v>
      </c>
    </row>
    <row r="12" spans="1:15" ht="12.75">
      <c r="A12" s="30" t="s">
        <v>35</v>
      </c>
      <c r="B12" s="189">
        <v>433</v>
      </c>
      <c r="C12" s="189">
        <v>156.9</v>
      </c>
      <c r="D12" s="189">
        <v>869.3</v>
      </c>
      <c r="E12" s="189">
        <v>158.3</v>
      </c>
      <c r="F12" s="199">
        <v>37.8</v>
      </c>
      <c r="G12" s="199">
        <v>14.3</v>
      </c>
      <c r="H12" s="199">
        <v>37.8</v>
      </c>
      <c r="I12" s="200">
        <v>6.9</v>
      </c>
      <c r="J12" s="199">
        <f t="shared" si="0"/>
        <v>11.455026455026456</v>
      </c>
      <c r="K12" s="199">
        <f t="shared" si="0"/>
        <v>10.972027972027972</v>
      </c>
      <c r="L12" s="199">
        <f t="shared" si="0"/>
        <v>22.997354497354497</v>
      </c>
      <c r="M12" s="199">
        <f t="shared" si="0"/>
        <v>22.942028985507246</v>
      </c>
      <c r="N12" s="191">
        <f t="shared" si="1"/>
        <v>34.45238095238095</v>
      </c>
      <c r="O12" s="191">
        <f t="shared" si="1"/>
        <v>33.914056957535216</v>
      </c>
    </row>
    <row r="13" spans="1:15" ht="12.75">
      <c r="A13" s="30" t="s">
        <v>37</v>
      </c>
      <c r="B13" s="189">
        <v>3296</v>
      </c>
      <c r="C13" s="189">
        <v>713</v>
      </c>
      <c r="D13" s="189">
        <v>4214</v>
      </c>
      <c r="E13" s="189">
        <v>1657</v>
      </c>
      <c r="F13" s="189">
        <v>271</v>
      </c>
      <c r="G13" s="189">
        <v>60</v>
      </c>
      <c r="H13" s="189">
        <v>254</v>
      </c>
      <c r="I13" s="198">
        <v>106</v>
      </c>
      <c r="J13" s="199">
        <f t="shared" si="0"/>
        <v>12.162361623616237</v>
      </c>
      <c r="K13" s="199">
        <f t="shared" si="0"/>
        <v>11.883333333333333</v>
      </c>
      <c r="L13" s="199">
        <f t="shared" si="0"/>
        <v>16.590551181102363</v>
      </c>
      <c r="M13" s="199">
        <f t="shared" si="0"/>
        <v>15.632075471698114</v>
      </c>
      <c r="N13" s="191">
        <f t="shared" si="1"/>
        <v>28.752912804718598</v>
      </c>
      <c r="O13" s="191">
        <f t="shared" si="1"/>
        <v>27.51540880503145</v>
      </c>
    </row>
    <row r="14" spans="1:15" ht="12.75">
      <c r="A14" s="30" t="s">
        <v>39</v>
      </c>
      <c r="B14" s="189">
        <v>1604</v>
      </c>
      <c r="C14" s="189">
        <v>486</v>
      </c>
      <c r="D14" s="189">
        <v>2619</v>
      </c>
      <c r="E14" s="189">
        <v>371</v>
      </c>
      <c r="F14" s="189">
        <v>205</v>
      </c>
      <c r="G14" s="189">
        <v>38</v>
      </c>
      <c r="H14" s="189">
        <v>160</v>
      </c>
      <c r="I14" s="198">
        <v>28</v>
      </c>
      <c r="J14" s="199">
        <f t="shared" si="0"/>
        <v>7.824390243902439</v>
      </c>
      <c r="K14" s="199">
        <f t="shared" si="0"/>
        <v>12.789473684210526</v>
      </c>
      <c r="L14" s="199">
        <f t="shared" si="0"/>
        <v>16.36875</v>
      </c>
      <c r="M14" s="199">
        <f t="shared" si="0"/>
        <v>13.25</v>
      </c>
      <c r="N14" s="191">
        <f t="shared" si="1"/>
        <v>24.193140243902437</v>
      </c>
      <c r="O14" s="191">
        <f t="shared" si="1"/>
        <v>26.039473684210527</v>
      </c>
    </row>
    <row r="15" spans="1:15" ht="12.75">
      <c r="A15" s="30" t="s">
        <v>195</v>
      </c>
      <c r="B15" s="189">
        <v>1181</v>
      </c>
      <c r="C15" s="189">
        <v>813</v>
      </c>
      <c r="D15" s="189">
        <v>1474</v>
      </c>
      <c r="E15" s="189">
        <v>1482</v>
      </c>
      <c r="F15" s="189">
        <v>87</v>
      </c>
      <c r="G15" s="189">
        <v>51</v>
      </c>
      <c r="H15" s="189">
        <v>64</v>
      </c>
      <c r="I15" s="198">
        <v>48</v>
      </c>
      <c r="J15" s="199">
        <f t="shared" si="0"/>
        <v>13.574712643678161</v>
      </c>
      <c r="K15" s="199">
        <f t="shared" si="0"/>
        <v>15.941176470588236</v>
      </c>
      <c r="L15" s="199">
        <f t="shared" si="0"/>
        <v>23.03125</v>
      </c>
      <c r="M15" s="199">
        <f t="shared" si="0"/>
        <v>30.875</v>
      </c>
      <c r="N15" s="191">
        <f t="shared" si="1"/>
        <v>36.60596264367816</v>
      </c>
      <c r="O15" s="191">
        <f t="shared" si="1"/>
        <v>46.81617647058823</v>
      </c>
    </row>
    <row r="16" spans="1:15" ht="12.75">
      <c r="A16" s="30" t="s">
        <v>213</v>
      </c>
      <c r="B16" s="189">
        <v>1409</v>
      </c>
      <c r="C16" s="189">
        <v>580</v>
      </c>
      <c r="D16" s="189">
        <v>1912</v>
      </c>
      <c r="E16" s="189">
        <v>804</v>
      </c>
      <c r="F16" s="189">
        <v>83</v>
      </c>
      <c r="G16" s="189">
        <v>34</v>
      </c>
      <c r="H16" s="189">
        <v>76</v>
      </c>
      <c r="I16" s="198">
        <v>32</v>
      </c>
      <c r="J16" s="199">
        <f t="shared" si="0"/>
        <v>16.97590361445783</v>
      </c>
      <c r="K16" s="199">
        <f t="shared" si="0"/>
        <v>17.058823529411764</v>
      </c>
      <c r="L16" s="199">
        <f t="shared" si="0"/>
        <v>25.157894736842106</v>
      </c>
      <c r="M16" s="199">
        <f t="shared" si="0"/>
        <v>25.125</v>
      </c>
      <c r="N16" s="191">
        <f t="shared" si="1"/>
        <v>42.13379835129994</v>
      </c>
      <c r="O16" s="191">
        <f t="shared" si="1"/>
        <v>42.18382352941177</v>
      </c>
    </row>
    <row r="17" spans="1:15" ht="12.75">
      <c r="A17" s="30" t="s">
        <v>45</v>
      </c>
      <c r="B17" s="189">
        <v>4338.4</v>
      </c>
      <c r="C17" s="189">
        <v>3643.6</v>
      </c>
      <c r="D17" s="189">
        <v>5685.5</v>
      </c>
      <c r="E17" s="189">
        <v>6184.2</v>
      </c>
      <c r="F17" s="189">
        <v>394.4</v>
      </c>
      <c r="G17" s="189">
        <v>285.4</v>
      </c>
      <c r="H17" s="189">
        <v>392.7</v>
      </c>
      <c r="I17" s="198">
        <v>346.6</v>
      </c>
      <c r="J17" s="199">
        <f t="shared" si="0"/>
        <v>11</v>
      </c>
      <c r="K17" s="199">
        <f t="shared" si="0"/>
        <v>12.766643307638404</v>
      </c>
      <c r="L17" s="199">
        <f t="shared" si="0"/>
        <v>14.477973007384772</v>
      </c>
      <c r="M17" s="199">
        <f t="shared" si="0"/>
        <v>17.842469705712634</v>
      </c>
      <c r="N17" s="191">
        <f t="shared" si="1"/>
        <v>25.477973007384772</v>
      </c>
      <c r="O17" s="191">
        <f t="shared" si="1"/>
        <v>30.60911301335104</v>
      </c>
    </row>
    <row r="18" spans="1:15" ht="12.75">
      <c r="A18" s="30" t="s">
        <v>47</v>
      </c>
      <c r="B18" s="189">
        <v>1147.5</v>
      </c>
      <c r="C18" s="189">
        <v>701.5</v>
      </c>
      <c r="D18" s="189">
        <v>1665.5</v>
      </c>
      <c r="E18" s="189">
        <v>707.5</v>
      </c>
      <c r="F18" s="189">
        <v>95.3</v>
      </c>
      <c r="G18" s="189">
        <v>49.9</v>
      </c>
      <c r="H18" s="189">
        <v>89.2</v>
      </c>
      <c r="I18" s="198">
        <v>38.5</v>
      </c>
      <c r="J18" s="199">
        <f t="shared" si="0"/>
        <v>12.040923399790136</v>
      </c>
      <c r="K18" s="199">
        <f t="shared" si="0"/>
        <v>14.058116232464931</v>
      </c>
      <c r="L18" s="199">
        <f t="shared" si="0"/>
        <v>18.67152466367713</v>
      </c>
      <c r="M18" s="199">
        <f t="shared" si="0"/>
        <v>18.376623376623378</v>
      </c>
      <c r="N18" s="191">
        <f t="shared" si="1"/>
        <v>30.712448063467264</v>
      </c>
      <c r="O18" s="191">
        <f t="shared" si="1"/>
        <v>32.43473960908831</v>
      </c>
    </row>
    <row r="19" spans="1:17" ht="12.75">
      <c r="A19" s="30" t="s">
        <v>49</v>
      </c>
      <c r="B19" s="189">
        <v>591</v>
      </c>
      <c r="C19" s="189">
        <v>398</v>
      </c>
      <c r="D19" s="189">
        <v>843</v>
      </c>
      <c r="E19" s="189">
        <v>87</v>
      </c>
      <c r="F19" s="189">
        <v>63</v>
      </c>
      <c r="G19" s="189">
        <v>25</v>
      </c>
      <c r="H19" s="189">
        <v>54</v>
      </c>
      <c r="I19" s="198">
        <v>5</v>
      </c>
      <c r="J19" s="199">
        <f aca="true" t="shared" si="2" ref="J19:M21">B19/F19</f>
        <v>9.380952380952381</v>
      </c>
      <c r="K19" s="199">
        <f t="shared" si="2"/>
        <v>15.92</v>
      </c>
      <c r="L19" s="199">
        <f t="shared" si="2"/>
        <v>15.61111111111111</v>
      </c>
      <c r="M19" s="199">
        <f t="shared" si="2"/>
        <v>17.4</v>
      </c>
      <c r="N19" s="191">
        <f>J19+L19</f>
        <v>24.992063492063494</v>
      </c>
      <c r="O19" s="191">
        <f>K19+M19</f>
        <v>33.32</v>
      </c>
      <c r="Q19" t="s">
        <v>147</v>
      </c>
    </row>
    <row r="20" spans="1:15" ht="12.75">
      <c r="A20" s="30" t="s">
        <v>50</v>
      </c>
      <c r="B20" s="189">
        <v>2873</v>
      </c>
      <c r="C20" s="189">
        <v>559</v>
      </c>
      <c r="D20" s="189">
        <v>3026</v>
      </c>
      <c r="E20" s="189">
        <v>589</v>
      </c>
      <c r="F20" s="189">
        <v>209.3</v>
      </c>
      <c r="G20" s="189">
        <v>40.7</v>
      </c>
      <c r="H20" s="189">
        <v>167.7</v>
      </c>
      <c r="I20" s="198">
        <v>40.3</v>
      </c>
      <c r="J20" s="199">
        <f t="shared" si="2"/>
        <v>13.72670807453416</v>
      </c>
      <c r="K20" s="199">
        <f t="shared" si="2"/>
        <v>13.734643734643734</v>
      </c>
      <c r="L20" s="199">
        <f t="shared" si="2"/>
        <v>18.04412641621944</v>
      </c>
      <c r="M20" s="199">
        <f t="shared" si="2"/>
        <v>14.615384615384617</v>
      </c>
      <c r="N20" s="191">
        <f>J20+L20</f>
        <v>31.7708344907536</v>
      </c>
      <c r="O20" s="191">
        <f>K20+M20</f>
        <v>28.350028350028353</v>
      </c>
    </row>
    <row r="21" spans="1:15" ht="12.75">
      <c r="A21" s="30" t="s">
        <v>53</v>
      </c>
      <c r="B21" s="189">
        <v>2623.8</v>
      </c>
      <c r="C21" s="189">
        <v>1694</v>
      </c>
      <c r="D21" s="189">
        <v>4079.3</v>
      </c>
      <c r="E21" s="189">
        <v>5053.8</v>
      </c>
      <c r="F21" s="189">
        <v>207.7</v>
      </c>
      <c r="G21" s="189">
        <v>128.3</v>
      </c>
      <c r="H21" s="189">
        <v>208.2</v>
      </c>
      <c r="I21" s="198">
        <v>178.6</v>
      </c>
      <c r="J21" s="199">
        <f t="shared" si="2"/>
        <v>12.632643235435726</v>
      </c>
      <c r="K21" s="199">
        <f t="shared" si="2"/>
        <v>13.203429462197972</v>
      </c>
      <c r="L21" s="199">
        <f t="shared" si="2"/>
        <v>19.59317963496638</v>
      </c>
      <c r="M21" s="199">
        <f t="shared" si="2"/>
        <v>28.296752519596865</v>
      </c>
      <c r="N21" s="191">
        <f t="shared" si="1"/>
        <v>32.225822870402105</v>
      </c>
      <c r="O21" s="191">
        <f t="shared" si="1"/>
        <v>41.50018198179484</v>
      </c>
    </row>
    <row r="22" spans="1:15" ht="12.75">
      <c r="A22" s="30" t="s">
        <v>55</v>
      </c>
      <c r="B22" s="189">
        <v>1922</v>
      </c>
      <c r="C22" s="189">
        <v>1307</v>
      </c>
      <c r="D22" s="189">
        <v>1832</v>
      </c>
      <c r="E22" s="189">
        <v>924</v>
      </c>
      <c r="F22" s="189">
        <v>137</v>
      </c>
      <c r="G22" s="189">
        <v>65</v>
      </c>
      <c r="H22" s="189">
        <v>137</v>
      </c>
      <c r="I22" s="198">
        <v>53</v>
      </c>
      <c r="J22" s="199">
        <f t="shared" si="0"/>
        <v>14.02919708029197</v>
      </c>
      <c r="K22" s="199">
        <f t="shared" si="0"/>
        <v>20.107692307692307</v>
      </c>
      <c r="L22" s="199">
        <f t="shared" si="0"/>
        <v>13.372262773722628</v>
      </c>
      <c r="M22" s="199">
        <f t="shared" si="0"/>
        <v>17.433962264150942</v>
      </c>
      <c r="N22" s="191">
        <f t="shared" si="1"/>
        <v>27.401459854014597</v>
      </c>
      <c r="O22" s="191">
        <f t="shared" si="1"/>
        <v>37.54165457184325</v>
      </c>
    </row>
    <row r="23" spans="1:15" ht="12.75">
      <c r="A23" s="242" t="s">
        <v>57</v>
      </c>
      <c r="B23" s="274">
        <v>1466.4</v>
      </c>
      <c r="C23" s="274">
        <v>715.5</v>
      </c>
      <c r="D23" s="274">
        <v>2231.2</v>
      </c>
      <c r="E23" s="274">
        <v>6740.5</v>
      </c>
      <c r="F23" s="274">
        <v>179.5</v>
      </c>
      <c r="G23" s="274">
        <v>57.4</v>
      </c>
      <c r="H23" s="274">
        <v>166.2</v>
      </c>
      <c r="I23" s="275">
        <v>412.9</v>
      </c>
      <c r="J23" s="276">
        <f t="shared" si="0"/>
        <v>8.169359331476324</v>
      </c>
      <c r="K23" s="276">
        <f t="shared" si="0"/>
        <v>12.465156794425088</v>
      </c>
      <c r="L23" s="276">
        <f t="shared" si="0"/>
        <v>13.424789410348977</v>
      </c>
      <c r="M23" s="276">
        <f t="shared" si="0"/>
        <v>16.324775974812304</v>
      </c>
      <c r="N23" s="277">
        <f t="shared" si="1"/>
        <v>21.5941487418253</v>
      </c>
      <c r="O23" s="277">
        <f t="shared" si="1"/>
        <v>28.789932769237392</v>
      </c>
    </row>
    <row r="24" spans="1:15" ht="12.75">
      <c r="A24" s="30" t="s">
        <v>225</v>
      </c>
      <c r="B24" s="189">
        <v>676</v>
      </c>
      <c r="C24" s="189">
        <v>265.5</v>
      </c>
      <c r="D24" s="189">
        <v>1084</v>
      </c>
      <c r="E24" s="189">
        <v>4764.6</v>
      </c>
      <c r="F24" s="189">
        <v>70.5</v>
      </c>
      <c r="G24" s="189">
        <v>23.6</v>
      </c>
      <c r="H24" s="189">
        <v>78.8</v>
      </c>
      <c r="I24" s="198">
        <v>244</v>
      </c>
      <c r="J24" s="199">
        <f t="shared" si="0"/>
        <v>9.588652482269504</v>
      </c>
      <c r="K24" s="199">
        <f t="shared" si="0"/>
        <v>11.25</v>
      </c>
      <c r="L24" s="199">
        <f t="shared" si="0"/>
        <v>13.756345177664976</v>
      </c>
      <c r="M24" s="199">
        <f t="shared" si="0"/>
        <v>19.52704918032787</v>
      </c>
      <c r="N24" s="191">
        <f t="shared" si="1"/>
        <v>23.344997659934478</v>
      </c>
      <c r="O24" s="191">
        <f t="shared" si="1"/>
        <v>30.77704918032787</v>
      </c>
    </row>
    <row r="25" spans="1:15" ht="12.75">
      <c r="A25" s="30" t="s">
        <v>59</v>
      </c>
      <c r="B25" s="189">
        <v>13585.4</v>
      </c>
      <c r="C25" s="189">
        <v>9480.1</v>
      </c>
      <c r="D25" s="189">
        <v>19217.9</v>
      </c>
      <c r="E25" s="189">
        <v>17727.6</v>
      </c>
      <c r="F25" s="189">
        <v>1236.8</v>
      </c>
      <c r="G25" s="189">
        <v>907.9</v>
      </c>
      <c r="H25" s="189">
        <v>1180.8</v>
      </c>
      <c r="I25" s="198">
        <v>1018.4</v>
      </c>
      <c r="J25" s="199">
        <f t="shared" si="0"/>
        <v>10.984314359637775</v>
      </c>
      <c r="K25" s="199">
        <f t="shared" si="0"/>
        <v>10.441788743253664</v>
      </c>
      <c r="L25" s="199">
        <f t="shared" si="0"/>
        <v>16.275321815718158</v>
      </c>
      <c r="M25" s="199">
        <f t="shared" si="0"/>
        <v>17.407305577376274</v>
      </c>
      <c r="N25" s="191">
        <f t="shared" si="1"/>
        <v>27.259636175355933</v>
      </c>
      <c r="O25" s="191">
        <f t="shared" si="1"/>
        <v>27.849094320629938</v>
      </c>
    </row>
    <row r="26" spans="1:15" ht="12.75">
      <c r="A26" s="30" t="s">
        <v>61</v>
      </c>
      <c r="B26" s="189">
        <v>4744</v>
      </c>
      <c r="C26" s="189">
        <v>1979</v>
      </c>
      <c r="D26" s="189">
        <v>3986</v>
      </c>
      <c r="E26" s="189">
        <v>10990</v>
      </c>
      <c r="F26" s="189">
        <v>416</v>
      </c>
      <c r="G26" s="189">
        <v>170</v>
      </c>
      <c r="H26" s="189">
        <v>416</v>
      </c>
      <c r="I26" s="198">
        <v>983</v>
      </c>
      <c r="J26" s="199">
        <f t="shared" si="0"/>
        <v>11.403846153846153</v>
      </c>
      <c r="K26" s="199">
        <f t="shared" si="0"/>
        <v>11.641176470588235</v>
      </c>
      <c r="L26" s="199">
        <f t="shared" si="0"/>
        <v>9.58173076923077</v>
      </c>
      <c r="M26" s="199">
        <f t="shared" si="0"/>
        <v>11.180061037639877</v>
      </c>
      <c r="N26" s="191">
        <f t="shared" si="1"/>
        <v>20.985576923076923</v>
      </c>
      <c r="O26" s="191">
        <f t="shared" si="1"/>
        <v>22.821237508228112</v>
      </c>
    </row>
    <row r="27" spans="1:17" ht="12.75">
      <c r="A27" s="30" t="s">
        <v>63</v>
      </c>
      <c r="B27" s="189">
        <v>1922</v>
      </c>
      <c r="C27" s="189">
        <v>1016</v>
      </c>
      <c r="D27" s="189">
        <v>2260</v>
      </c>
      <c r="E27" s="189">
        <v>1399</v>
      </c>
      <c r="F27" s="189">
        <v>170</v>
      </c>
      <c r="G27" s="189">
        <v>91</v>
      </c>
      <c r="H27" s="189">
        <v>158</v>
      </c>
      <c r="I27" s="198">
        <v>95</v>
      </c>
      <c r="J27" s="199">
        <f t="shared" si="0"/>
        <v>11.305882352941177</v>
      </c>
      <c r="K27" s="199">
        <f t="shared" si="0"/>
        <v>11.164835164835164</v>
      </c>
      <c r="L27" s="199">
        <f t="shared" si="0"/>
        <v>14.30379746835443</v>
      </c>
      <c r="M27" s="199">
        <f t="shared" si="0"/>
        <v>14.726315789473684</v>
      </c>
      <c r="N27" s="191">
        <f t="shared" si="1"/>
        <v>25.609679821295607</v>
      </c>
      <c r="O27" s="191">
        <f t="shared" si="1"/>
        <v>25.89115095430885</v>
      </c>
      <c r="Q27" t="s">
        <v>147</v>
      </c>
    </row>
    <row r="28" spans="1:16" ht="12.75">
      <c r="A28" s="30" t="s">
        <v>65</v>
      </c>
      <c r="B28" s="189">
        <v>6048.3</v>
      </c>
      <c r="C28" s="189">
        <v>782</v>
      </c>
      <c r="D28" s="189">
        <v>5134.9</v>
      </c>
      <c r="E28" s="189">
        <v>2150.4</v>
      </c>
      <c r="F28" s="189">
        <v>616.5</v>
      </c>
      <c r="G28" s="189">
        <v>65.2</v>
      </c>
      <c r="H28" s="189">
        <v>616</v>
      </c>
      <c r="I28" s="198">
        <v>195.1</v>
      </c>
      <c r="J28" s="199">
        <f t="shared" si="0"/>
        <v>9.810705596107056</v>
      </c>
      <c r="K28" s="199">
        <f t="shared" si="0"/>
        <v>11.993865030674845</v>
      </c>
      <c r="L28" s="199">
        <f t="shared" si="0"/>
        <v>8.335876623376622</v>
      </c>
      <c r="M28" s="199">
        <f t="shared" si="0"/>
        <v>11.022039979497695</v>
      </c>
      <c r="N28" s="191">
        <f t="shared" si="1"/>
        <v>18.146582219483676</v>
      </c>
      <c r="O28" s="191">
        <f t="shared" si="1"/>
        <v>23.01590501017254</v>
      </c>
      <c r="P28" t="s">
        <v>147</v>
      </c>
    </row>
    <row r="29" spans="1:15" ht="12.75">
      <c r="A29" s="30" t="s">
        <v>69</v>
      </c>
      <c r="B29" s="189">
        <v>1422</v>
      </c>
      <c r="C29" s="189">
        <v>1700</v>
      </c>
      <c r="D29" s="189">
        <v>1113</v>
      </c>
      <c r="E29" s="189">
        <v>4861</v>
      </c>
      <c r="F29" s="189">
        <v>132</v>
      </c>
      <c r="G29" s="189">
        <v>106</v>
      </c>
      <c r="H29" s="189">
        <v>88</v>
      </c>
      <c r="I29" s="198">
        <v>201</v>
      </c>
      <c r="J29" s="199">
        <f t="shared" si="0"/>
        <v>10.772727272727273</v>
      </c>
      <c r="K29" s="199">
        <f t="shared" si="0"/>
        <v>16.037735849056602</v>
      </c>
      <c r="L29" s="199">
        <f t="shared" si="0"/>
        <v>12.647727272727273</v>
      </c>
      <c r="M29" s="199">
        <f t="shared" si="0"/>
        <v>24.18407960199005</v>
      </c>
      <c r="N29" s="191">
        <f t="shared" si="1"/>
        <v>23.420454545454547</v>
      </c>
      <c r="O29" s="191">
        <f t="shared" si="1"/>
        <v>40.22181545104665</v>
      </c>
    </row>
    <row r="30" spans="1:15" ht="12.75">
      <c r="A30" s="30" t="s">
        <v>148</v>
      </c>
      <c r="B30" s="189">
        <v>2657</v>
      </c>
      <c r="C30" s="189">
        <v>1031</v>
      </c>
      <c r="D30" s="189">
        <v>3721</v>
      </c>
      <c r="E30" s="189">
        <v>2491</v>
      </c>
      <c r="F30" s="189">
        <v>189</v>
      </c>
      <c r="G30" s="189">
        <v>28</v>
      </c>
      <c r="H30" s="189">
        <v>178</v>
      </c>
      <c r="I30" s="198">
        <v>30</v>
      </c>
      <c r="J30" s="199">
        <f t="shared" si="0"/>
        <v>14.058201058201059</v>
      </c>
      <c r="K30" s="199">
        <f t="shared" si="0"/>
        <v>36.82142857142857</v>
      </c>
      <c r="L30" s="199">
        <f t="shared" si="0"/>
        <v>20.90449438202247</v>
      </c>
      <c r="M30" s="199">
        <f t="shared" si="0"/>
        <v>83.03333333333333</v>
      </c>
      <c r="N30" s="191">
        <f t="shared" si="1"/>
        <v>34.96269544022353</v>
      </c>
      <c r="O30" s="191">
        <f t="shared" si="1"/>
        <v>119.8547619047619</v>
      </c>
    </row>
    <row r="31" spans="1:15" ht="12.75">
      <c r="A31" s="30" t="s">
        <v>226</v>
      </c>
      <c r="B31" s="189">
        <v>207033.18</v>
      </c>
      <c r="C31" s="189">
        <v>160855.02</v>
      </c>
      <c r="D31" s="189">
        <v>165308.82</v>
      </c>
      <c r="E31" s="189">
        <v>160258.37</v>
      </c>
      <c r="F31" s="189">
        <v>13800.97</v>
      </c>
      <c r="G31" s="189">
        <v>4877.13</v>
      </c>
      <c r="H31" s="189">
        <v>13516.66</v>
      </c>
      <c r="I31" s="198">
        <v>8651.25</v>
      </c>
      <c r="J31" s="199">
        <f t="shared" si="0"/>
        <v>15.001349905115365</v>
      </c>
      <c r="K31" s="199">
        <f t="shared" si="0"/>
        <v>32.98149116386071</v>
      </c>
      <c r="L31" s="199">
        <f t="shared" si="0"/>
        <v>12.230005045625177</v>
      </c>
      <c r="M31" s="199">
        <f t="shared" si="0"/>
        <v>18.524302268458314</v>
      </c>
      <c r="N31" s="191">
        <f t="shared" si="1"/>
        <v>27.231354950740542</v>
      </c>
      <c r="O31" s="191">
        <f t="shared" si="1"/>
        <v>51.505793432319024</v>
      </c>
    </row>
    <row r="32" spans="1:15" ht="12.75">
      <c r="A32" s="30" t="s">
        <v>72</v>
      </c>
      <c r="B32" s="189">
        <v>1863</v>
      </c>
      <c r="C32" s="189">
        <v>1070</v>
      </c>
      <c r="D32" s="189">
        <v>2010</v>
      </c>
      <c r="E32" s="189">
        <v>1321</v>
      </c>
      <c r="F32" s="189">
        <v>134</v>
      </c>
      <c r="G32" s="189">
        <v>65</v>
      </c>
      <c r="H32" s="189">
        <v>114</v>
      </c>
      <c r="I32" s="198">
        <v>64</v>
      </c>
      <c r="J32" s="199">
        <f t="shared" si="0"/>
        <v>13.902985074626866</v>
      </c>
      <c r="K32" s="199">
        <f t="shared" si="0"/>
        <v>16.46153846153846</v>
      </c>
      <c r="L32" s="199">
        <f t="shared" si="0"/>
        <v>17.63157894736842</v>
      </c>
      <c r="M32" s="199">
        <f t="shared" si="0"/>
        <v>20.640625</v>
      </c>
      <c r="N32" s="191">
        <f t="shared" si="1"/>
        <v>31.534564021995287</v>
      </c>
      <c r="O32" s="191">
        <f t="shared" si="1"/>
        <v>37.10216346153846</v>
      </c>
    </row>
    <row r="33" spans="1:15" ht="12.75">
      <c r="A33" s="30" t="s">
        <v>74</v>
      </c>
      <c r="B33" s="189">
        <v>25686</v>
      </c>
      <c r="C33" s="189">
        <v>11350</v>
      </c>
      <c r="D33" s="189">
        <v>31268</v>
      </c>
      <c r="E33" s="189">
        <v>25124</v>
      </c>
      <c r="F33" s="189">
        <v>2807</v>
      </c>
      <c r="G33" s="189">
        <v>1312</v>
      </c>
      <c r="H33" s="189">
        <v>2794</v>
      </c>
      <c r="I33" s="198">
        <v>1774</v>
      </c>
      <c r="J33" s="199">
        <f t="shared" si="0"/>
        <v>9.150694691841824</v>
      </c>
      <c r="K33" s="199">
        <f t="shared" si="0"/>
        <v>8.650914634146341</v>
      </c>
      <c r="L33" s="199">
        <f t="shared" si="0"/>
        <v>11.191123836793128</v>
      </c>
      <c r="M33" s="199">
        <f t="shared" si="0"/>
        <v>14.162344983089064</v>
      </c>
      <c r="N33" s="191">
        <f t="shared" si="1"/>
        <v>20.341818528634953</v>
      </c>
      <c r="O33" s="191">
        <f t="shared" si="1"/>
        <v>22.813259617235403</v>
      </c>
    </row>
    <row r="34" spans="1:15" ht="12.75">
      <c r="A34" s="30" t="s">
        <v>76</v>
      </c>
      <c r="B34" s="189">
        <v>404</v>
      </c>
      <c r="C34" s="189">
        <v>115</v>
      </c>
      <c r="D34" s="189">
        <v>708</v>
      </c>
      <c r="E34" s="189">
        <v>234</v>
      </c>
      <c r="F34" s="189">
        <v>39</v>
      </c>
      <c r="G34" s="189">
        <v>11</v>
      </c>
      <c r="H34" s="189">
        <v>36</v>
      </c>
      <c r="I34" s="198">
        <v>11</v>
      </c>
      <c r="J34" s="199">
        <f t="shared" si="0"/>
        <v>10.35897435897436</v>
      </c>
      <c r="K34" s="199">
        <f t="shared" si="0"/>
        <v>10.454545454545455</v>
      </c>
      <c r="L34" s="199">
        <f t="shared" si="0"/>
        <v>19.666666666666668</v>
      </c>
      <c r="M34" s="199">
        <f t="shared" si="0"/>
        <v>21.272727272727273</v>
      </c>
      <c r="N34" s="191">
        <f t="shared" si="1"/>
        <v>30.02564102564103</v>
      </c>
      <c r="O34" s="191">
        <f t="shared" si="1"/>
        <v>31.727272727272727</v>
      </c>
    </row>
    <row r="35" spans="1:15" ht="12.75">
      <c r="A35" s="30" t="s">
        <v>78</v>
      </c>
      <c r="B35" s="189">
        <v>1253</v>
      </c>
      <c r="C35" s="189">
        <v>645</v>
      </c>
      <c r="D35" s="189">
        <v>2285</v>
      </c>
      <c r="E35" s="189">
        <v>948</v>
      </c>
      <c r="F35" s="189">
        <v>145</v>
      </c>
      <c r="G35" s="189">
        <v>53</v>
      </c>
      <c r="H35" s="189">
        <v>155</v>
      </c>
      <c r="I35" s="198">
        <v>55</v>
      </c>
      <c r="J35" s="199">
        <f t="shared" si="0"/>
        <v>8.641379310344828</v>
      </c>
      <c r="K35" s="199">
        <f t="shared" si="0"/>
        <v>12.169811320754716</v>
      </c>
      <c r="L35" s="199">
        <f t="shared" si="0"/>
        <v>14.741935483870968</v>
      </c>
      <c r="M35" s="199">
        <f t="shared" si="0"/>
        <v>17.236363636363638</v>
      </c>
      <c r="N35" s="191">
        <f t="shared" si="1"/>
        <v>23.383314794215796</v>
      </c>
      <c r="O35" s="191">
        <f t="shared" si="1"/>
        <v>29.406174957118353</v>
      </c>
    </row>
    <row r="36" spans="1:15" ht="12.75">
      <c r="A36" s="30" t="s">
        <v>80</v>
      </c>
      <c r="B36" s="189">
        <v>3835.7</v>
      </c>
      <c r="C36" s="189">
        <v>1395.5</v>
      </c>
      <c r="D36" s="189">
        <v>4503.1</v>
      </c>
      <c r="E36" s="189">
        <v>1939.2</v>
      </c>
      <c r="F36" s="189">
        <v>265.6</v>
      </c>
      <c r="G36" s="189">
        <v>91.9</v>
      </c>
      <c r="H36" s="189">
        <v>260.6</v>
      </c>
      <c r="I36" s="198">
        <v>105.4</v>
      </c>
      <c r="J36" s="199">
        <f t="shared" si="0"/>
        <v>14.441641566265059</v>
      </c>
      <c r="K36" s="199">
        <f t="shared" si="0"/>
        <v>15.184983677910772</v>
      </c>
      <c r="L36" s="199">
        <f t="shared" si="0"/>
        <v>17.279739063699157</v>
      </c>
      <c r="M36" s="199">
        <f t="shared" si="0"/>
        <v>18.398481973434535</v>
      </c>
      <c r="N36" s="191">
        <f t="shared" si="1"/>
        <v>31.721380629964216</v>
      </c>
      <c r="O36" s="191">
        <f t="shared" si="1"/>
        <v>33.58346565134531</v>
      </c>
    </row>
    <row r="37" spans="1:15" ht="12.75">
      <c r="A37" s="30" t="s">
        <v>82</v>
      </c>
      <c r="B37" s="189">
        <v>5083</v>
      </c>
      <c r="C37" s="189">
        <v>1752</v>
      </c>
      <c r="D37" s="189">
        <v>6723</v>
      </c>
      <c r="E37" s="189">
        <v>6053</v>
      </c>
      <c r="F37" s="201">
        <v>467</v>
      </c>
      <c r="G37" s="201">
        <v>157</v>
      </c>
      <c r="H37" s="201">
        <v>473</v>
      </c>
      <c r="I37" s="201">
        <v>326</v>
      </c>
      <c r="J37" s="199">
        <f t="shared" si="0"/>
        <v>10.884368308351178</v>
      </c>
      <c r="K37" s="199">
        <f t="shared" si="0"/>
        <v>11.159235668789808</v>
      </c>
      <c r="L37" s="199">
        <f t="shared" si="0"/>
        <v>14.213530655391121</v>
      </c>
      <c r="M37" s="199">
        <f t="shared" si="0"/>
        <v>18.567484662576685</v>
      </c>
      <c r="N37" s="191">
        <f t="shared" si="1"/>
        <v>25.0978989637423</v>
      </c>
      <c r="O37" s="191">
        <f t="shared" si="1"/>
        <v>29.726720331366494</v>
      </c>
    </row>
    <row r="38" spans="1:15" ht="12.75">
      <c r="A38" s="30" t="s">
        <v>84</v>
      </c>
      <c r="B38" s="189">
        <v>282</v>
      </c>
      <c r="C38" s="189">
        <v>83</v>
      </c>
      <c r="D38" s="189">
        <v>316</v>
      </c>
      <c r="E38" s="189">
        <v>148</v>
      </c>
      <c r="F38" s="189">
        <v>47.7</v>
      </c>
      <c r="G38" s="189">
        <v>13.5</v>
      </c>
      <c r="H38" s="189">
        <v>43.2</v>
      </c>
      <c r="I38" s="198">
        <v>18.1</v>
      </c>
      <c r="J38" s="199">
        <f t="shared" si="0"/>
        <v>5.911949685534591</v>
      </c>
      <c r="K38" s="199">
        <f t="shared" si="0"/>
        <v>6.148148148148148</v>
      </c>
      <c r="L38" s="199">
        <f t="shared" si="0"/>
        <v>7.314814814814814</v>
      </c>
      <c r="M38" s="199">
        <f t="shared" si="0"/>
        <v>8.176795580110497</v>
      </c>
      <c r="N38" s="191">
        <f t="shared" si="1"/>
        <v>13.226764500349404</v>
      </c>
      <c r="O38" s="191">
        <f t="shared" si="1"/>
        <v>14.324943728258646</v>
      </c>
    </row>
    <row r="39" spans="1:15" ht="12.75">
      <c r="A39" s="202" t="s">
        <v>203</v>
      </c>
      <c r="B39" s="203">
        <f aca="true" t="shared" si="3" ref="B39:I39">SUM(B5:B38)</f>
        <v>321824.98000000004</v>
      </c>
      <c r="C39" s="203">
        <f t="shared" si="3"/>
        <v>209564.41999999998</v>
      </c>
      <c r="D39" s="203">
        <f t="shared" si="3"/>
        <v>311742.52</v>
      </c>
      <c r="E39" s="203">
        <f t="shared" si="3"/>
        <v>272075.07</v>
      </c>
      <c r="F39" s="203">
        <f t="shared" si="3"/>
        <v>24808.739999999998</v>
      </c>
      <c r="G39" s="204">
        <f t="shared" si="3"/>
        <v>9460.23</v>
      </c>
      <c r="H39" s="203">
        <f t="shared" si="3"/>
        <v>24041.3</v>
      </c>
      <c r="I39" s="203">
        <f t="shared" si="3"/>
        <v>15460.25</v>
      </c>
      <c r="J39" s="204"/>
      <c r="K39" s="204"/>
      <c r="L39" s="204"/>
      <c r="M39" s="204"/>
      <c r="N39" s="204"/>
      <c r="O39" s="204"/>
    </row>
    <row r="40" spans="1:15" ht="12.75">
      <c r="A40" s="205" t="s">
        <v>204</v>
      </c>
      <c r="B40" s="197"/>
      <c r="C40" s="197"/>
      <c r="D40" s="197"/>
      <c r="E40" s="197"/>
      <c r="F40" s="197"/>
      <c r="G40" s="197"/>
      <c r="H40" s="197"/>
      <c r="I40" s="197"/>
      <c r="J40" s="206">
        <f aca="true" t="shared" si="4" ref="J40:O40">SUM(J5:J38)/29</f>
        <v>13.386799717282036</v>
      </c>
      <c r="K40" s="206" t="e">
        <f t="shared" si="4"/>
        <v>#DIV/0!</v>
      </c>
      <c r="L40" s="206">
        <f t="shared" si="4"/>
        <v>19.326461684721224</v>
      </c>
      <c r="M40" s="206" t="e">
        <f t="shared" si="4"/>
        <v>#DIV/0!</v>
      </c>
      <c r="N40" s="191">
        <f t="shared" si="4"/>
        <v>32.71326140200326</v>
      </c>
      <c r="O40" s="191" t="e">
        <f t="shared" si="4"/>
        <v>#DIV/0!</v>
      </c>
    </row>
  </sheetData>
  <sheetProtection selectLockedCells="1" selectUnlockedCells="1"/>
  <mergeCells count="11">
    <mergeCell ref="H3:I3"/>
    <mergeCell ref="A1:O1"/>
    <mergeCell ref="B2:E2"/>
    <mergeCell ref="F2:I2"/>
    <mergeCell ref="J2:M2"/>
    <mergeCell ref="J3:K3"/>
    <mergeCell ref="L3:M3"/>
    <mergeCell ref="N3:O3"/>
    <mergeCell ref="B3:C3"/>
    <mergeCell ref="D3:E3"/>
    <mergeCell ref="F3:G3"/>
  </mergeCells>
  <printOptions/>
  <pageMargins left="0.7479166666666667" right="0.393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2.75">
      <c r="A2" s="285" t="s">
        <v>227</v>
      </c>
      <c r="B2" s="285"/>
      <c r="C2" s="285"/>
    </row>
    <row r="3" spans="1:3" ht="12.75">
      <c r="A3" s="207"/>
      <c r="B3" s="208"/>
      <c r="C3" s="208"/>
    </row>
    <row r="4" spans="1:3" ht="12.75">
      <c r="A4" s="209"/>
      <c r="B4" s="210" t="s">
        <v>228</v>
      </c>
      <c r="C4" s="210" t="s">
        <v>207</v>
      </c>
    </row>
    <row r="5" spans="1:3" ht="12.75">
      <c r="A5" s="3" t="s">
        <v>65</v>
      </c>
      <c r="B5" s="28">
        <v>1.5</v>
      </c>
      <c r="C5" s="28">
        <v>1.59</v>
      </c>
    </row>
    <row r="6" spans="1:3" ht="12.75">
      <c r="A6" s="3" t="s">
        <v>232</v>
      </c>
      <c r="B6" s="28">
        <v>1.58</v>
      </c>
      <c r="C6" s="28">
        <v>0</v>
      </c>
    </row>
    <row r="7" spans="1:3" ht="12.75">
      <c r="A7" s="242" t="s">
        <v>183</v>
      </c>
      <c r="B7" s="242">
        <v>1.71</v>
      </c>
      <c r="C7" s="242">
        <v>2.28</v>
      </c>
    </row>
    <row r="8" spans="1:3" ht="12.75">
      <c r="A8" s="30" t="s">
        <v>74</v>
      </c>
      <c r="B8" s="30">
        <v>1.57</v>
      </c>
      <c r="C8" s="30">
        <v>1.57</v>
      </c>
    </row>
    <row r="9" spans="1:3" ht="12.75">
      <c r="A9" s="30" t="s">
        <v>229</v>
      </c>
      <c r="B9" s="30">
        <v>1.98</v>
      </c>
      <c r="C9" s="30">
        <v>2.31</v>
      </c>
    </row>
    <row r="10" spans="1:3" ht="12.75">
      <c r="A10" s="30" t="s">
        <v>49</v>
      </c>
      <c r="B10" s="30">
        <v>2.33</v>
      </c>
      <c r="C10" s="30">
        <v>2.33</v>
      </c>
    </row>
    <row r="11" spans="1:3" ht="12.75">
      <c r="A11" s="30" t="s">
        <v>185</v>
      </c>
      <c r="B11" s="30">
        <v>1.619</v>
      </c>
      <c r="C11" s="30">
        <v>1.62</v>
      </c>
    </row>
    <row r="12" spans="1:3" ht="12.75">
      <c r="A12" s="30" t="s">
        <v>33</v>
      </c>
      <c r="B12" s="30">
        <v>1.71</v>
      </c>
      <c r="C12" s="30">
        <v>1.462</v>
      </c>
    </row>
    <row r="13" spans="1:3" ht="12.75">
      <c r="A13" s="30" t="s">
        <v>82</v>
      </c>
      <c r="B13" s="30">
        <v>1.988</v>
      </c>
      <c r="C13" s="30">
        <v>1.988</v>
      </c>
    </row>
    <row r="14" spans="1:3" ht="12.75">
      <c r="A14" s="30" t="s">
        <v>193</v>
      </c>
      <c r="B14" s="30">
        <v>2.38</v>
      </c>
      <c r="C14" s="30">
        <v>2.38</v>
      </c>
    </row>
    <row r="15" spans="1:3" ht="12.75">
      <c r="A15" s="30" t="s">
        <v>181</v>
      </c>
      <c r="B15" s="30">
        <v>1.886</v>
      </c>
      <c r="C15" s="30">
        <v>2.096</v>
      </c>
    </row>
    <row r="16" spans="1:3" ht="12.75">
      <c r="A16" s="30" t="s">
        <v>37</v>
      </c>
      <c r="B16" s="30">
        <v>2.12</v>
      </c>
      <c r="C16" s="30">
        <v>2.12</v>
      </c>
    </row>
    <row r="17" spans="1:3" ht="12.75">
      <c r="A17" s="30" t="s">
        <v>24</v>
      </c>
      <c r="B17" s="30">
        <v>1.91</v>
      </c>
      <c r="C17" s="30">
        <v>1.9</v>
      </c>
    </row>
    <row r="18" spans="1:3" ht="12.75">
      <c r="A18" s="30" t="s">
        <v>188</v>
      </c>
      <c r="B18" s="30">
        <v>2.27</v>
      </c>
      <c r="C18" s="30">
        <v>1.35</v>
      </c>
    </row>
    <row r="19" spans="1:3" ht="12.75">
      <c r="A19" s="30" t="s">
        <v>186</v>
      </c>
      <c r="B19" s="30">
        <v>1.978</v>
      </c>
      <c r="C19" s="30">
        <v>1.978</v>
      </c>
    </row>
    <row r="20" spans="1:3" ht="12.75">
      <c r="A20" s="205" t="s">
        <v>210</v>
      </c>
      <c r="B20" s="205">
        <f>AVERAGE(B21:B37,B5:B19)</f>
        <v>2.252125</v>
      </c>
      <c r="C20" s="205">
        <f>AVERAGE(C21:C37,C5:C19)</f>
        <v>2.3885000000000005</v>
      </c>
    </row>
    <row r="21" spans="1:3" ht="12.75">
      <c r="A21" s="30" t="s">
        <v>31</v>
      </c>
      <c r="B21" s="30">
        <v>2.027</v>
      </c>
      <c r="C21" s="30">
        <v>2.55</v>
      </c>
    </row>
    <row r="22" spans="1:3" ht="12.75">
      <c r="A22" s="30" t="s">
        <v>180</v>
      </c>
      <c r="B22" s="30">
        <v>2.34</v>
      </c>
      <c r="C22" s="30">
        <v>2.8</v>
      </c>
    </row>
    <row r="23" spans="1:3" ht="12.75">
      <c r="A23" s="30" t="s">
        <v>199</v>
      </c>
      <c r="B23" s="279">
        <v>2.04</v>
      </c>
      <c r="C23" s="279">
        <v>2.038</v>
      </c>
    </row>
    <row r="24" spans="1:3" ht="12.75">
      <c r="A24" s="30" t="s">
        <v>84</v>
      </c>
      <c r="B24" s="30">
        <v>2.06</v>
      </c>
      <c r="C24" s="30">
        <v>2.06</v>
      </c>
    </row>
    <row r="25" spans="1:3" ht="12.75">
      <c r="A25" s="30" t="s">
        <v>70</v>
      </c>
      <c r="B25" s="30">
        <v>2.09</v>
      </c>
      <c r="C25" s="30">
        <v>4.84</v>
      </c>
    </row>
    <row r="26" spans="1:3" ht="12.75">
      <c r="A26" s="30" t="s">
        <v>230</v>
      </c>
      <c r="B26" s="30">
        <v>2.6</v>
      </c>
      <c r="C26" s="30">
        <v>2.54</v>
      </c>
    </row>
    <row r="27" spans="1:3" ht="12.75">
      <c r="A27" s="30" t="s">
        <v>45</v>
      </c>
      <c r="B27" s="30">
        <v>2.11</v>
      </c>
      <c r="C27" s="30">
        <v>2.41</v>
      </c>
    </row>
    <row r="28" spans="1:3" ht="12.75">
      <c r="A28" s="30" t="s">
        <v>80</v>
      </c>
      <c r="B28" s="30">
        <v>3.14</v>
      </c>
      <c r="C28" s="30">
        <v>3.14</v>
      </c>
    </row>
    <row r="29" spans="1:3" ht="12.75">
      <c r="A29" s="30" t="s">
        <v>132</v>
      </c>
      <c r="B29" s="30">
        <v>2.53</v>
      </c>
      <c r="C29" s="30">
        <v>2.53</v>
      </c>
    </row>
    <row r="30" spans="1:3" ht="12.75">
      <c r="A30" s="30" t="s">
        <v>197</v>
      </c>
      <c r="B30" s="30">
        <v>2.59</v>
      </c>
      <c r="C30" s="30">
        <v>2.79</v>
      </c>
    </row>
    <row r="31" spans="1:3" ht="12.75">
      <c r="A31" s="30" t="s">
        <v>53</v>
      </c>
      <c r="B31" s="30">
        <v>2.64</v>
      </c>
      <c r="C31" s="30">
        <v>3.26</v>
      </c>
    </row>
    <row r="32" spans="1:3" ht="12.75">
      <c r="A32" s="30" t="s">
        <v>35</v>
      </c>
      <c r="B32" s="30">
        <v>2.6</v>
      </c>
      <c r="C32" s="30">
        <v>2.6</v>
      </c>
    </row>
    <row r="33" spans="1:3" ht="12.75">
      <c r="A33" s="30" t="s">
        <v>41</v>
      </c>
      <c r="B33" s="30">
        <v>3.03</v>
      </c>
      <c r="C33" s="30">
        <v>3.63</v>
      </c>
    </row>
    <row r="34" spans="1:3" ht="12.75">
      <c r="A34" s="30" t="s">
        <v>72</v>
      </c>
      <c r="B34" s="30">
        <v>2.9</v>
      </c>
      <c r="C34" s="30">
        <v>3.42</v>
      </c>
    </row>
    <row r="35" spans="1:3" ht="12.75">
      <c r="A35" s="30" t="s">
        <v>153</v>
      </c>
      <c r="B35" s="30">
        <v>2.47</v>
      </c>
      <c r="C35" s="30">
        <v>2.47</v>
      </c>
    </row>
    <row r="36" spans="1:3" ht="12.75">
      <c r="A36" s="30" t="s">
        <v>148</v>
      </c>
      <c r="B36" s="30">
        <v>3.1</v>
      </c>
      <c r="C36" s="30">
        <v>3.1</v>
      </c>
    </row>
    <row r="37" spans="1:3" ht="12.75">
      <c r="A37" s="30" t="s">
        <v>43</v>
      </c>
      <c r="B37" s="30">
        <v>3.27</v>
      </c>
      <c r="C37" s="30">
        <v>3.28</v>
      </c>
    </row>
    <row r="38" ht="12.75">
      <c r="A38" s="1"/>
    </row>
  </sheetData>
  <sheetProtection selectLockedCells="1" selectUnlockedCells="1"/>
  <mergeCells count="1">
    <mergeCell ref="A2:C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2021-09-24T07:15:44Z</dcterms:created>
  <dcterms:modified xsi:type="dcterms:W3CDTF">2021-09-24T07:15:44Z</dcterms:modified>
  <cp:category/>
  <cp:version/>
  <cp:contentType/>
  <cp:contentStatus/>
</cp:coreProperties>
</file>