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.POLTSAMAAVH\AppData\Local\Microsoft\Windows\INetCache\Content.Outlook\4RPP2YIO\"/>
    </mc:Choice>
  </mc:AlternateContent>
  <xr:revisionPtr revIDLastSave="0" documentId="13_ncr:1_{566A7CBD-4ADC-45BF-981D-3B29D0CE86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.12.2018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ettevõtete vee ja kanali hind" sheetId="6" r:id="rId7"/>
    <sheet name="tulu 1m3 vee müügist" sheetId="10" r:id="rId8"/>
    <sheet name="tulu 1m3 kanali müügist " sheetId="11" r:id="rId9"/>
    <sheet name="graafik 1 " sheetId="15" r:id="rId10"/>
    <sheet name="graafik 2" sheetId="16" r:id="rId11"/>
    <sheet name="graafik 3" sheetId="17" r:id="rId12"/>
    <sheet name="Leht2" sheetId="2" r:id="rId13"/>
    <sheet name="Leht3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2" i="14" l="1"/>
  <c r="AO12" i="14"/>
  <c r="AN12" i="14"/>
  <c r="AM12" i="14"/>
  <c r="AH12" i="14"/>
  <c r="AG12" i="14"/>
  <c r="AF12" i="14"/>
  <c r="AJ12" i="14" s="1"/>
  <c r="AL12" i="14" s="1"/>
  <c r="AE12" i="14"/>
  <c r="AI12" i="14" s="1"/>
  <c r="AK12" i="14" s="1"/>
  <c r="R12" i="14"/>
  <c r="Q12" i="14"/>
  <c r="P12" i="14"/>
  <c r="O12" i="14"/>
  <c r="AC41" i="17" l="1"/>
  <c r="AD41" i="17"/>
  <c r="AE41" i="17"/>
  <c r="AK41" i="17" s="1"/>
  <c r="AF41" i="17"/>
  <c r="AL41" i="17" s="1"/>
  <c r="AG41" i="17"/>
  <c r="AH41" i="17"/>
  <c r="AI41" i="17"/>
  <c r="AJ41" i="17"/>
  <c r="AM41" i="17"/>
  <c r="AN41" i="17"/>
  <c r="AO41" i="17"/>
  <c r="AP41" i="17"/>
  <c r="AC42" i="17"/>
  <c r="AD42" i="17"/>
  <c r="AH42" i="17" s="1"/>
  <c r="AJ42" i="17" s="1"/>
  <c r="AE42" i="17"/>
  <c r="AK42" i="17" s="1"/>
  <c r="AF42" i="17"/>
  <c r="AL42" i="17" s="1"/>
  <c r="AG42" i="17"/>
  <c r="AI42" i="17"/>
  <c r="AM42" i="17"/>
  <c r="AN42" i="17"/>
  <c r="AO42" i="17"/>
  <c r="AP42" i="17"/>
  <c r="W41" i="14" l="1"/>
  <c r="V41" i="14"/>
  <c r="T41" i="14"/>
  <c r="S41" i="14"/>
  <c r="H41" i="14"/>
  <c r="G41" i="14"/>
  <c r="E41" i="14"/>
  <c r="D41" i="14"/>
  <c r="R11" i="14"/>
  <c r="Q11" i="14"/>
  <c r="P11" i="14"/>
  <c r="O11" i="14"/>
  <c r="W30" i="14"/>
  <c r="V30" i="14"/>
  <c r="T30" i="14"/>
  <c r="S30" i="14"/>
  <c r="H30" i="14"/>
  <c r="G30" i="14"/>
  <c r="E30" i="14"/>
  <c r="D30" i="14"/>
  <c r="W13" i="14"/>
  <c r="V13" i="14"/>
  <c r="T13" i="14"/>
  <c r="S13" i="14"/>
  <c r="H13" i="14"/>
  <c r="G13" i="14"/>
  <c r="E13" i="14"/>
  <c r="D13" i="14"/>
  <c r="AG4" i="14"/>
  <c r="AR4" i="17" s="1"/>
  <c r="AH4" i="14"/>
  <c r="L5" i="14"/>
  <c r="P5" i="14" s="1"/>
  <c r="N5" i="14"/>
  <c r="R5" i="14" s="1"/>
  <c r="AG5" i="14"/>
  <c r="AH5" i="14"/>
  <c r="AR6" i="17"/>
  <c r="L7" i="14"/>
  <c r="P7" i="14" s="1"/>
  <c r="N7" i="14"/>
  <c r="R7" i="14" s="1"/>
  <c r="AG7" i="14"/>
  <c r="AH7" i="14"/>
  <c r="R8" i="14"/>
  <c r="AG8" i="14"/>
  <c r="AR8" i="17" s="1"/>
  <c r="AH8" i="14"/>
  <c r="AG9" i="14"/>
  <c r="AH9" i="14"/>
  <c r="AG10" i="14"/>
  <c r="AH10" i="14"/>
  <c r="AR10" i="17"/>
  <c r="AG11" i="14"/>
  <c r="AH11" i="14"/>
  <c r="AR12" i="17"/>
  <c r="AG13" i="14"/>
  <c r="AR13" i="17" s="1"/>
  <c r="AH13" i="14"/>
  <c r="AG14" i="14"/>
  <c r="AH14" i="14"/>
  <c r="AG15" i="14"/>
  <c r="AH15" i="14"/>
  <c r="AG16" i="14"/>
  <c r="AH16" i="14"/>
  <c r="AR16" i="17"/>
  <c r="AG17" i="14"/>
  <c r="AH17" i="14"/>
  <c r="AG18" i="14"/>
  <c r="AH18" i="14"/>
  <c r="AG19" i="14"/>
  <c r="AH19" i="14"/>
  <c r="AR19" i="17" s="1"/>
  <c r="L20" i="14"/>
  <c r="P20" i="14"/>
  <c r="N20" i="14"/>
  <c r="R20" i="14" s="1"/>
  <c r="AG20" i="14"/>
  <c r="AH20" i="14"/>
  <c r="AG21" i="14"/>
  <c r="AR21" i="17" s="1"/>
  <c r="AH21" i="14"/>
  <c r="AG22" i="14"/>
  <c r="AH22" i="14"/>
  <c r="P23" i="14"/>
  <c r="AQ23" i="15" s="1"/>
  <c r="R23" i="14"/>
  <c r="AG23" i="14"/>
  <c r="AH23" i="14"/>
  <c r="AG24" i="14"/>
  <c r="AR24" i="17" s="1"/>
  <c r="AH24" i="14"/>
  <c r="AG25" i="14"/>
  <c r="AH25" i="14"/>
  <c r="AR25" i="17" s="1"/>
  <c r="P26" i="14"/>
  <c r="AQ26" i="15" s="1"/>
  <c r="R26" i="14"/>
  <c r="AG26" i="14"/>
  <c r="AH26" i="14"/>
  <c r="AG27" i="14"/>
  <c r="AH27" i="14"/>
  <c r="AG28" i="14"/>
  <c r="AH28" i="14"/>
  <c r="AR28" i="17"/>
  <c r="AG29" i="14"/>
  <c r="AH29" i="14"/>
  <c r="AG30" i="14"/>
  <c r="AH30" i="14"/>
  <c r="P31" i="14"/>
  <c r="AR31" i="17" s="1"/>
  <c r="R31" i="14"/>
  <c r="AG32" i="14"/>
  <c r="AH32" i="14"/>
  <c r="AG33" i="14"/>
  <c r="AH33" i="14"/>
  <c r="AG34" i="14"/>
  <c r="AH34" i="14"/>
  <c r="AG35" i="14"/>
  <c r="AH35" i="14"/>
  <c r="AR35" i="17"/>
  <c r="AG36" i="14"/>
  <c r="AH36" i="14"/>
  <c r="P37" i="14"/>
  <c r="R37" i="14"/>
  <c r="AG37" i="14"/>
  <c r="AH37" i="14"/>
  <c r="AG38" i="14"/>
  <c r="AH38" i="14"/>
  <c r="AG39" i="14"/>
  <c r="AH39" i="14"/>
  <c r="AG40" i="14"/>
  <c r="AH40" i="14"/>
  <c r="AR40" i="17" s="1"/>
  <c r="AG41" i="14"/>
  <c r="AR41" i="17" s="1"/>
  <c r="AH41" i="14"/>
  <c r="AG42" i="14"/>
  <c r="AH42" i="14"/>
  <c r="AG43" i="14"/>
  <c r="AR43" i="17" s="1"/>
  <c r="AH43" i="14"/>
  <c r="AG44" i="14"/>
  <c r="AH44" i="14"/>
  <c r="M5" i="14"/>
  <c r="AF5" i="14"/>
  <c r="K5" i="14"/>
  <c r="AE5" i="14"/>
  <c r="AE4" i="14"/>
  <c r="AI4" i="14" s="1"/>
  <c r="AK4" i="14" s="1"/>
  <c r="AF4" i="14"/>
  <c r="AJ4" i="14" s="1"/>
  <c r="AL4" i="14" s="1"/>
  <c r="AJ4" i="12" s="1"/>
  <c r="AE6" i="14"/>
  <c r="AI6" i="14" s="1"/>
  <c r="AK6" i="14" s="1"/>
  <c r="AF6" i="14"/>
  <c r="AJ6" i="14" s="1"/>
  <c r="AL6" i="14" s="1"/>
  <c r="AJ6" i="12" s="1"/>
  <c r="K7" i="14"/>
  <c r="AE7" i="14"/>
  <c r="AI7" i="14" s="1"/>
  <c r="AK7" i="14" s="1"/>
  <c r="M7" i="14"/>
  <c r="AF7" i="14"/>
  <c r="AE8" i="14"/>
  <c r="AI8" i="14"/>
  <c r="AK8" i="14" s="1"/>
  <c r="AF8" i="14"/>
  <c r="AJ8" i="14"/>
  <c r="AL8" i="14" s="1"/>
  <c r="AJ8" i="12" s="1"/>
  <c r="AE9" i="14"/>
  <c r="AI9" i="14" s="1"/>
  <c r="AK9" i="14"/>
  <c r="AQ9" i="17" s="1"/>
  <c r="AF9" i="14"/>
  <c r="AJ9" i="14" s="1"/>
  <c r="AL9" i="14" s="1"/>
  <c r="AJ9" i="12" s="1"/>
  <c r="AE10" i="14"/>
  <c r="AI10" i="14" s="1"/>
  <c r="AK10" i="14" s="1"/>
  <c r="AI10" i="12" s="1"/>
  <c r="AF10" i="14"/>
  <c r="AJ10" i="14" s="1"/>
  <c r="AL10" i="14" s="1"/>
  <c r="AE11" i="14"/>
  <c r="AI11" i="14" s="1"/>
  <c r="AK11" i="14" s="1"/>
  <c r="AO11" i="13" s="1"/>
  <c r="AF11" i="14"/>
  <c r="AJ11" i="14"/>
  <c r="AL11" i="14" s="1"/>
  <c r="AJ11" i="12" s="1"/>
  <c r="AQ12" i="17"/>
  <c r="AE13" i="14"/>
  <c r="AI13" i="14" s="1"/>
  <c r="AK13" i="14" s="1"/>
  <c r="AI13" i="12" s="1"/>
  <c r="AF13" i="14"/>
  <c r="AJ13" i="14"/>
  <c r="AL13" i="14" s="1"/>
  <c r="AJ13" i="12" s="1"/>
  <c r="AE14" i="14"/>
  <c r="AI14" i="14"/>
  <c r="AK14" i="14" s="1"/>
  <c r="AI14" i="12" s="1"/>
  <c r="AF14" i="14"/>
  <c r="AJ14" i="14"/>
  <c r="AL14" i="14" s="1"/>
  <c r="AE15" i="14"/>
  <c r="AI15" i="14" s="1"/>
  <c r="AK15" i="14"/>
  <c r="AF15" i="14"/>
  <c r="AJ15" i="14" s="1"/>
  <c r="AL15" i="14" s="1"/>
  <c r="AE16" i="14"/>
  <c r="AI16" i="14" s="1"/>
  <c r="AK16" i="14" s="1"/>
  <c r="AF16" i="14"/>
  <c r="AJ16" i="14" s="1"/>
  <c r="AL16" i="14" s="1"/>
  <c r="AE17" i="14"/>
  <c r="AI17" i="14" s="1"/>
  <c r="AK17" i="14" s="1"/>
  <c r="AI17" i="12" s="1"/>
  <c r="AF17" i="14"/>
  <c r="AJ17" i="14"/>
  <c r="AL17" i="14" s="1"/>
  <c r="AJ17" i="12" s="1"/>
  <c r="AE18" i="14"/>
  <c r="AI18" i="14"/>
  <c r="AK18" i="14" s="1"/>
  <c r="AI18" i="12" s="1"/>
  <c r="AF18" i="14"/>
  <c r="AJ18" i="14"/>
  <c r="AL18" i="14" s="1"/>
  <c r="AJ18" i="12" s="1"/>
  <c r="AE19" i="14"/>
  <c r="AI19" i="14" s="1"/>
  <c r="AK19" i="14"/>
  <c r="AI19" i="12" s="1"/>
  <c r="AF19" i="14"/>
  <c r="AJ19" i="14" s="1"/>
  <c r="AL19" i="14" s="1"/>
  <c r="K20" i="14"/>
  <c r="O20" i="14" s="1"/>
  <c r="AE20" i="14"/>
  <c r="AI20" i="14"/>
  <c r="AK20" i="14" s="1"/>
  <c r="M20" i="14"/>
  <c r="K20" i="5" s="1"/>
  <c r="AF20" i="14"/>
  <c r="AJ20" i="14"/>
  <c r="AL20" i="14" s="1"/>
  <c r="AJ20" i="12" s="1"/>
  <c r="AE21" i="14"/>
  <c r="AI21" i="14" s="1"/>
  <c r="AK21" i="14" s="1"/>
  <c r="AF21" i="14"/>
  <c r="AJ21" i="14" s="1"/>
  <c r="AL21" i="14" s="1"/>
  <c r="AJ21" i="12" s="1"/>
  <c r="AE22" i="14"/>
  <c r="AI22" i="14" s="1"/>
  <c r="AK22" i="14" s="1"/>
  <c r="AI22" i="12" s="1"/>
  <c r="AF22" i="14"/>
  <c r="AJ22" i="14" s="1"/>
  <c r="AL22" i="14" s="1"/>
  <c r="AJ22" i="12" s="1"/>
  <c r="AE23" i="14"/>
  <c r="AI23" i="14" s="1"/>
  <c r="AK23" i="14" s="1"/>
  <c r="AF23" i="14"/>
  <c r="AJ23" i="14"/>
  <c r="AL23" i="14" s="1"/>
  <c r="AE24" i="14"/>
  <c r="AI24" i="14"/>
  <c r="AK24" i="14" s="1"/>
  <c r="AI24" i="12" s="1"/>
  <c r="AF24" i="14"/>
  <c r="AJ24" i="14"/>
  <c r="AL24" i="14" s="1"/>
  <c r="AE25" i="14"/>
  <c r="AI25" i="14" s="1"/>
  <c r="AK25" i="14" s="1"/>
  <c r="AF25" i="14"/>
  <c r="AJ25" i="14" s="1"/>
  <c r="AL25" i="14" s="1"/>
  <c r="AE26" i="14"/>
  <c r="AI26" i="14" s="1"/>
  <c r="AK26" i="14" s="1"/>
  <c r="AI26" i="12" s="1"/>
  <c r="AF26" i="14"/>
  <c r="AJ26" i="14" s="1"/>
  <c r="AL26" i="14" s="1"/>
  <c r="AE27" i="14"/>
  <c r="AI27" i="14" s="1"/>
  <c r="AK27" i="14" s="1"/>
  <c r="AF27" i="14"/>
  <c r="AJ27" i="14"/>
  <c r="AL27" i="14" s="1"/>
  <c r="AJ27" i="12" s="1"/>
  <c r="AE28" i="14"/>
  <c r="AI28" i="14"/>
  <c r="AK28" i="14" s="1"/>
  <c r="AF28" i="14"/>
  <c r="AJ28" i="14"/>
  <c r="AL28" i="14" s="1"/>
  <c r="AJ28" i="12" s="1"/>
  <c r="AE29" i="14"/>
  <c r="AI29" i="14" s="1"/>
  <c r="AK29" i="14" s="1"/>
  <c r="AF29" i="14"/>
  <c r="AJ29" i="14" s="1"/>
  <c r="AL29" i="14" s="1"/>
  <c r="AJ29" i="12" s="1"/>
  <c r="AE30" i="14"/>
  <c r="AI30" i="14" s="1"/>
  <c r="AK30" i="14" s="1"/>
  <c r="AF30" i="14"/>
  <c r="AJ30" i="14"/>
  <c r="AL30" i="14" s="1"/>
  <c r="AJ30" i="12" s="1"/>
  <c r="AI31" i="14"/>
  <c r="AK31" i="14"/>
  <c r="AI31" i="12" s="1"/>
  <c r="AJ31" i="14"/>
  <c r="AL31" i="14" s="1"/>
  <c r="AE32" i="14"/>
  <c r="AI32" i="14" s="1"/>
  <c r="AK32" i="14" s="1"/>
  <c r="AF32" i="14"/>
  <c r="AJ32" i="14"/>
  <c r="AL32" i="14" s="1"/>
  <c r="AJ32" i="12" s="1"/>
  <c r="AE33" i="14"/>
  <c r="AI33" i="14"/>
  <c r="AK33" i="14" s="1"/>
  <c r="AF33" i="14"/>
  <c r="AJ33" i="14"/>
  <c r="AL33" i="14" s="1"/>
  <c r="AJ33" i="12" s="1"/>
  <c r="AE34" i="14"/>
  <c r="AI34" i="14" s="1"/>
  <c r="AK34" i="14"/>
  <c r="AF34" i="14"/>
  <c r="AJ34" i="14" s="1"/>
  <c r="AL34" i="14" s="1"/>
  <c r="AJ34" i="12" s="1"/>
  <c r="AE35" i="14"/>
  <c r="AI35" i="14" s="1"/>
  <c r="AK35" i="14" s="1"/>
  <c r="AF35" i="14"/>
  <c r="AJ35" i="14" s="1"/>
  <c r="AL35" i="14" s="1"/>
  <c r="AE36" i="14"/>
  <c r="AI36" i="14" s="1"/>
  <c r="AK36" i="14" s="1"/>
  <c r="AF36" i="14"/>
  <c r="AJ36" i="14" s="1"/>
  <c r="AL36" i="14" s="1"/>
  <c r="AJ36" i="12" s="1"/>
  <c r="AE37" i="14"/>
  <c r="AI37" i="14" s="1"/>
  <c r="AK37" i="14" s="1"/>
  <c r="AF37" i="14"/>
  <c r="AJ37" i="14" s="1"/>
  <c r="AL37" i="14" s="1"/>
  <c r="AJ37" i="12" s="1"/>
  <c r="AE38" i="14"/>
  <c r="AI38" i="14"/>
  <c r="AK38" i="14" s="1"/>
  <c r="AF38" i="14"/>
  <c r="AJ38" i="14" s="1"/>
  <c r="AL38" i="14" s="1"/>
  <c r="AJ38" i="12" s="1"/>
  <c r="AE39" i="14"/>
  <c r="AI39" i="14" s="1"/>
  <c r="AK39" i="14" s="1"/>
  <c r="AF39" i="14"/>
  <c r="AJ39" i="14" s="1"/>
  <c r="AL39" i="14" s="1"/>
  <c r="AJ39" i="12" s="1"/>
  <c r="AE40" i="14"/>
  <c r="AI40" i="14" s="1"/>
  <c r="AK40" i="14" s="1"/>
  <c r="AF40" i="14"/>
  <c r="AJ40" i="14" s="1"/>
  <c r="AL40" i="14" s="1"/>
  <c r="AE41" i="14"/>
  <c r="AI41" i="14" s="1"/>
  <c r="AK41" i="14" s="1"/>
  <c r="AI41" i="12" s="1"/>
  <c r="AF41" i="14"/>
  <c r="AJ41" i="14" s="1"/>
  <c r="AL41" i="14"/>
  <c r="AJ41" i="12" s="1"/>
  <c r="AE42" i="14"/>
  <c r="AI42" i="14" s="1"/>
  <c r="AK42" i="14" s="1"/>
  <c r="AF42" i="14"/>
  <c r="AJ42" i="14" s="1"/>
  <c r="AL42" i="14" s="1"/>
  <c r="AJ42" i="12" s="1"/>
  <c r="AE43" i="14"/>
  <c r="AI43" i="14"/>
  <c r="AK43" i="14" s="1"/>
  <c r="AI43" i="12" s="1"/>
  <c r="AF43" i="14"/>
  <c r="AJ43" i="14"/>
  <c r="AL43" i="14" s="1"/>
  <c r="AE44" i="14"/>
  <c r="AI44" i="14" s="1"/>
  <c r="AK44" i="14"/>
  <c r="AF44" i="14"/>
  <c r="AJ44" i="14" s="1"/>
  <c r="AL44" i="14" s="1"/>
  <c r="AQ4" i="15"/>
  <c r="AQ6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1" i="15"/>
  <c r="AQ22" i="15"/>
  <c r="AQ24" i="15"/>
  <c r="AQ25" i="15"/>
  <c r="AQ27" i="15"/>
  <c r="AQ28" i="15"/>
  <c r="AQ29" i="15"/>
  <c r="AQ30" i="15"/>
  <c r="AQ32" i="15"/>
  <c r="AQ33" i="15"/>
  <c r="AQ34" i="15"/>
  <c r="AQ35" i="15"/>
  <c r="AQ36" i="15"/>
  <c r="AQ38" i="15"/>
  <c r="AQ39" i="15"/>
  <c r="AQ40" i="15"/>
  <c r="AQ41" i="15"/>
  <c r="AQ42" i="15"/>
  <c r="AQ43" i="15"/>
  <c r="AQ44" i="15"/>
  <c r="Q5" i="14"/>
  <c r="O5" i="14"/>
  <c r="AP4" i="15"/>
  <c r="AP6" i="15"/>
  <c r="O7" i="14"/>
  <c r="Q8" i="14"/>
  <c r="AP9" i="15"/>
  <c r="AP10" i="15"/>
  <c r="AP11" i="15"/>
  <c r="AP12" i="15"/>
  <c r="AP13" i="15"/>
  <c r="AP14" i="15"/>
  <c r="AP15" i="15"/>
  <c r="AP16" i="15"/>
  <c r="AP17" i="15"/>
  <c r="AP18" i="15"/>
  <c r="AP19" i="15"/>
  <c r="Q20" i="14"/>
  <c r="O20" i="9" s="1"/>
  <c r="AP21" i="15"/>
  <c r="AP22" i="15"/>
  <c r="O23" i="14"/>
  <c r="Q23" i="14"/>
  <c r="O23" i="9" s="1"/>
  <c r="AP24" i="15"/>
  <c r="AP25" i="15"/>
  <c r="O26" i="14"/>
  <c r="Q26" i="14"/>
  <c r="AK26" i="7" s="1"/>
  <c r="AP27" i="15"/>
  <c r="AP28" i="15"/>
  <c r="AP29" i="15"/>
  <c r="AP30" i="15"/>
  <c r="O31" i="14"/>
  <c r="Q31" i="14"/>
  <c r="AP32" i="15"/>
  <c r="AP33" i="15"/>
  <c r="AP34" i="15"/>
  <c r="AP35" i="15"/>
  <c r="AP36" i="15"/>
  <c r="O37" i="14"/>
  <c r="Q37" i="14"/>
  <c r="O37" i="9" s="1"/>
  <c r="AP38" i="15"/>
  <c r="AP39" i="15"/>
  <c r="AP40" i="15"/>
  <c r="AP41" i="15"/>
  <c r="AP42" i="15"/>
  <c r="AP43" i="15"/>
  <c r="AP44" i="15"/>
  <c r="L4" i="6"/>
  <c r="L5" i="6"/>
  <c r="L6" i="6"/>
  <c r="L7" i="6"/>
  <c r="L8" i="6"/>
  <c r="P8" i="6" s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P21" i="6" s="1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AO12" i="13"/>
  <c r="AO36" i="13"/>
  <c r="AO44" i="13"/>
  <c r="AK4" i="7"/>
  <c r="AK6" i="7"/>
  <c r="AK9" i="7"/>
  <c r="AK10" i="7"/>
  <c r="AK11" i="7"/>
  <c r="AK12" i="7"/>
  <c r="AK13" i="7"/>
  <c r="AK14" i="7"/>
  <c r="AK15" i="7"/>
  <c r="AK16" i="7"/>
  <c r="AK17" i="7"/>
  <c r="AK18" i="7"/>
  <c r="AK19" i="7"/>
  <c r="AK21" i="7"/>
  <c r="AK22" i="7"/>
  <c r="AK24" i="7"/>
  <c r="AK25" i="7"/>
  <c r="AK27" i="7"/>
  <c r="AK28" i="7"/>
  <c r="AK29" i="7"/>
  <c r="AK30" i="7"/>
  <c r="AK32" i="7"/>
  <c r="AK33" i="7"/>
  <c r="AK34" i="7"/>
  <c r="AK35" i="7"/>
  <c r="AK36" i="7"/>
  <c r="AK38" i="7"/>
  <c r="AK39" i="7"/>
  <c r="AK40" i="7"/>
  <c r="AK41" i="7"/>
  <c r="AK42" i="7"/>
  <c r="AK43" i="7"/>
  <c r="AK44" i="7"/>
  <c r="AJ10" i="12"/>
  <c r="AJ12" i="12"/>
  <c r="AJ14" i="12"/>
  <c r="AJ15" i="12"/>
  <c r="AJ26" i="12"/>
  <c r="AJ31" i="12"/>
  <c r="AJ35" i="12"/>
  <c r="AJ43" i="12"/>
  <c r="AI12" i="12"/>
  <c r="AI16" i="12"/>
  <c r="AI23" i="12"/>
  <c r="AI25" i="12"/>
  <c r="AI30" i="12"/>
  <c r="AI35" i="12"/>
  <c r="AI36" i="12"/>
  <c r="AI38" i="12"/>
  <c r="AI39" i="12"/>
  <c r="AI40" i="12"/>
  <c r="AI42" i="12"/>
  <c r="AI44" i="12"/>
  <c r="O5" i="9"/>
  <c r="O4" i="9"/>
  <c r="O6" i="9"/>
  <c r="O9" i="9"/>
  <c r="O10" i="9"/>
  <c r="O11" i="9"/>
  <c r="O12" i="9"/>
  <c r="O13" i="9"/>
  <c r="O14" i="9"/>
  <c r="O15" i="9"/>
  <c r="O16" i="9"/>
  <c r="O17" i="9"/>
  <c r="O18" i="9"/>
  <c r="O19" i="9"/>
  <c r="O21" i="9"/>
  <c r="O22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8" i="9"/>
  <c r="O39" i="9"/>
  <c r="O40" i="9"/>
  <c r="O41" i="9"/>
  <c r="O42" i="9"/>
  <c r="O43" i="9"/>
  <c r="O44" i="9"/>
  <c r="M4" i="9"/>
  <c r="M5" i="9"/>
  <c r="M6" i="9"/>
  <c r="M8" i="9"/>
  <c r="M9" i="9"/>
  <c r="M10" i="9"/>
  <c r="M11" i="9"/>
  <c r="M12" i="9"/>
  <c r="M13" i="9"/>
  <c r="M14" i="9"/>
  <c r="M15" i="9"/>
  <c r="M16" i="9"/>
  <c r="M17" i="9"/>
  <c r="M18" i="9"/>
  <c r="M19" i="9"/>
  <c r="M21" i="9"/>
  <c r="M22" i="9"/>
  <c r="M24" i="9"/>
  <c r="M25" i="9"/>
  <c r="M26" i="9"/>
  <c r="M27" i="9"/>
  <c r="M28" i="9"/>
  <c r="M29" i="9"/>
  <c r="M30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K5" i="5"/>
  <c r="K4" i="5"/>
  <c r="K6" i="5"/>
  <c r="K8" i="5"/>
  <c r="O8" i="5" s="1"/>
  <c r="K9" i="5"/>
  <c r="K10" i="5"/>
  <c r="K11" i="5"/>
  <c r="K12" i="5"/>
  <c r="K13" i="5"/>
  <c r="K14" i="5"/>
  <c r="K15" i="5"/>
  <c r="K16" i="5"/>
  <c r="K17" i="5"/>
  <c r="K18" i="5"/>
  <c r="K19" i="5"/>
  <c r="K21" i="5"/>
  <c r="O21" i="5" s="1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I4" i="5"/>
  <c r="I5" i="5"/>
  <c r="I6" i="5"/>
  <c r="I7" i="5"/>
  <c r="I8" i="5"/>
  <c r="M8" i="5" s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AI12" i="10"/>
  <c r="A3" i="17"/>
  <c r="A3" i="16"/>
  <c r="AO3" i="15"/>
  <c r="A3" i="11"/>
  <c r="A3" i="10"/>
  <c r="A3" i="6"/>
  <c r="A3" i="13"/>
  <c r="A3" i="7"/>
  <c r="A3" i="12"/>
  <c r="A3" i="9"/>
  <c r="A3" i="5"/>
  <c r="AP8" i="17"/>
  <c r="AO8" i="17"/>
  <c r="AN8" i="17"/>
  <c r="AM8" i="17"/>
  <c r="AF8" i="17"/>
  <c r="AE8" i="17"/>
  <c r="AD8" i="17"/>
  <c r="AC8" i="17"/>
  <c r="L8" i="17"/>
  <c r="P8" i="17"/>
  <c r="K8" i="17"/>
  <c r="O8" i="17" s="1"/>
  <c r="J8" i="17"/>
  <c r="N8" i="17" s="1"/>
  <c r="I8" i="17"/>
  <c r="AG8" i="17" s="1"/>
  <c r="AI8" i="17" s="1"/>
  <c r="AN8" i="16"/>
  <c r="AM8" i="16"/>
  <c r="AL8" i="16"/>
  <c r="AK8" i="16"/>
  <c r="AF8" i="16"/>
  <c r="AE8" i="16"/>
  <c r="AD8" i="16"/>
  <c r="AC8" i="16"/>
  <c r="L8" i="16"/>
  <c r="P8" i="16"/>
  <c r="K8" i="16"/>
  <c r="J8" i="16"/>
  <c r="N8" i="16" s="1"/>
  <c r="I8" i="16"/>
  <c r="AN8" i="15"/>
  <c r="AM8" i="15"/>
  <c r="AL8" i="15"/>
  <c r="AK8" i="15"/>
  <c r="AF8" i="15"/>
  <c r="AE8" i="15"/>
  <c r="AD8" i="15"/>
  <c r="AC8" i="15"/>
  <c r="L8" i="15"/>
  <c r="P8" i="15"/>
  <c r="K8" i="15"/>
  <c r="O8" i="15" s="1"/>
  <c r="J8" i="15"/>
  <c r="N8" i="15" s="1"/>
  <c r="I8" i="15"/>
  <c r="M8" i="15" s="1"/>
  <c r="AI8" i="11"/>
  <c r="AG8" i="11"/>
  <c r="AF8" i="11"/>
  <c r="AE8" i="11"/>
  <c r="AD8" i="11"/>
  <c r="AC8" i="11"/>
  <c r="L8" i="11"/>
  <c r="P8" i="11" s="1"/>
  <c r="K8" i="11"/>
  <c r="O8" i="11" s="1"/>
  <c r="J8" i="11"/>
  <c r="N8" i="11" s="1"/>
  <c r="I8" i="11"/>
  <c r="M8" i="11"/>
  <c r="AJ8" i="10"/>
  <c r="AH8" i="10"/>
  <c r="AF8" i="10"/>
  <c r="AE8" i="10"/>
  <c r="AD8" i="10"/>
  <c r="AC8" i="10"/>
  <c r="L8" i="10"/>
  <c r="P8" i="10"/>
  <c r="K8" i="10"/>
  <c r="O8" i="10" s="1"/>
  <c r="J8" i="10"/>
  <c r="N8" i="10" s="1"/>
  <c r="I8" i="10"/>
  <c r="M8" i="10" s="1"/>
  <c r="AJ8" i="6"/>
  <c r="AI8" i="6"/>
  <c r="AH8" i="6"/>
  <c r="AG8" i="6"/>
  <c r="AF8" i="6"/>
  <c r="AE8" i="6"/>
  <c r="AD8" i="6"/>
  <c r="AC8" i="6"/>
  <c r="O8" i="6"/>
  <c r="N8" i="6"/>
  <c r="I8" i="6"/>
  <c r="M8" i="6" s="1"/>
  <c r="AN8" i="13"/>
  <c r="AM8" i="13"/>
  <c r="AL8" i="13"/>
  <c r="AK8" i="13"/>
  <c r="AF8" i="13"/>
  <c r="AE8" i="13"/>
  <c r="AD8" i="13"/>
  <c r="AC8" i="13"/>
  <c r="L8" i="13"/>
  <c r="P8" i="13"/>
  <c r="K8" i="13"/>
  <c r="J8" i="13"/>
  <c r="N8" i="13" s="1"/>
  <c r="I8" i="13"/>
  <c r="AJ8" i="7"/>
  <c r="AI8" i="7"/>
  <c r="AH8" i="7"/>
  <c r="AG8" i="7"/>
  <c r="AF8" i="7"/>
  <c r="AE8" i="7"/>
  <c r="AD8" i="7"/>
  <c r="AC8" i="7"/>
  <c r="L8" i="7"/>
  <c r="P8" i="7"/>
  <c r="K8" i="7"/>
  <c r="O8" i="7" s="1"/>
  <c r="J8" i="7"/>
  <c r="N8" i="7" s="1"/>
  <c r="I8" i="7"/>
  <c r="M8" i="7" s="1"/>
  <c r="AN8" i="12"/>
  <c r="AM8" i="12"/>
  <c r="AL8" i="12"/>
  <c r="AK8" i="12"/>
  <c r="AF8" i="12"/>
  <c r="AE8" i="12"/>
  <c r="AD8" i="12"/>
  <c r="AC8" i="12"/>
  <c r="L8" i="12"/>
  <c r="P8" i="12"/>
  <c r="K8" i="12"/>
  <c r="O8" i="12" s="1"/>
  <c r="J8" i="12"/>
  <c r="N8" i="12" s="1"/>
  <c r="I8" i="12"/>
  <c r="AG8" i="12" s="1"/>
  <c r="AJ8" i="9"/>
  <c r="AI8" i="9"/>
  <c r="AH8" i="9"/>
  <c r="AG8" i="9"/>
  <c r="AF8" i="9"/>
  <c r="AE8" i="9"/>
  <c r="AD8" i="9"/>
  <c r="AC8" i="9"/>
  <c r="L8" i="9"/>
  <c r="P8" i="9"/>
  <c r="K8" i="9"/>
  <c r="J8" i="9"/>
  <c r="I8" i="9"/>
  <c r="AJ8" i="5"/>
  <c r="AI8" i="5"/>
  <c r="AH8" i="5"/>
  <c r="AG8" i="5"/>
  <c r="AF8" i="5"/>
  <c r="AE8" i="5"/>
  <c r="AD8" i="5"/>
  <c r="AC8" i="5"/>
  <c r="N8" i="5"/>
  <c r="L8" i="5"/>
  <c r="P8" i="5" s="1"/>
  <c r="AP8" i="14"/>
  <c r="AJ8" i="11" s="1"/>
  <c r="AO8" i="14"/>
  <c r="AI8" i="10" s="1"/>
  <c r="AN8" i="14"/>
  <c r="AH8" i="11" s="1"/>
  <c r="AM8" i="14"/>
  <c r="AG8" i="10"/>
  <c r="AL8" i="17"/>
  <c r="AP40" i="17"/>
  <c r="AO40" i="17"/>
  <c r="AN40" i="17"/>
  <c r="AM40" i="17"/>
  <c r="AF40" i="17"/>
  <c r="AL40" i="17" s="1"/>
  <c r="AE40" i="17"/>
  <c r="AK40" i="17" s="1"/>
  <c r="AD40" i="17"/>
  <c r="AH40" i="17"/>
  <c r="AJ40" i="17" s="1"/>
  <c r="AC40" i="17"/>
  <c r="AG40" i="17"/>
  <c r="AI40" i="17" s="1"/>
  <c r="AN40" i="16"/>
  <c r="AM40" i="16"/>
  <c r="AL40" i="16"/>
  <c r="AK40" i="16"/>
  <c r="AF40" i="16"/>
  <c r="AE40" i="16"/>
  <c r="AD40" i="16"/>
  <c r="AH40" i="16" s="1"/>
  <c r="AJ40" i="16" s="1"/>
  <c r="AC40" i="16"/>
  <c r="AG40" i="16" s="1"/>
  <c r="AI40" i="16"/>
  <c r="AN40" i="15"/>
  <c r="AM40" i="15"/>
  <c r="AL40" i="15"/>
  <c r="AK40" i="15"/>
  <c r="AF40" i="15"/>
  <c r="AE40" i="15"/>
  <c r="AD40" i="15"/>
  <c r="AH40" i="15"/>
  <c r="AJ40" i="15" s="1"/>
  <c r="AC40" i="15"/>
  <c r="AG40" i="15"/>
  <c r="AI40" i="15" s="1"/>
  <c r="AI40" i="11"/>
  <c r="AG40" i="11"/>
  <c r="AF40" i="11"/>
  <c r="AE40" i="11"/>
  <c r="AD40" i="11"/>
  <c r="AC40" i="11"/>
  <c r="AJ40" i="10"/>
  <c r="AH40" i="10"/>
  <c r="AF40" i="10"/>
  <c r="AE40" i="10"/>
  <c r="AD40" i="10"/>
  <c r="AC40" i="10"/>
  <c r="AJ40" i="6"/>
  <c r="AI40" i="6"/>
  <c r="AH40" i="6"/>
  <c r="AG40" i="6"/>
  <c r="AF40" i="6"/>
  <c r="AE40" i="6"/>
  <c r="AD40" i="6"/>
  <c r="AC40" i="6"/>
  <c r="AN40" i="13"/>
  <c r="AM40" i="13"/>
  <c r="AL40" i="13"/>
  <c r="AK40" i="13"/>
  <c r="AF40" i="13"/>
  <c r="AE40" i="13"/>
  <c r="AD40" i="13"/>
  <c r="AH40" i="13" s="1"/>
  <c r="AJ40" i="13" s="1"/>
  <c r="AC40" i="13"/>
  <c r="AG40" i="13" s="1"/>
  <c r="AI40" i="13"/>
  <c r="AJ40" i="7"/>
  <c r="AI40" i="7"/>
  <c r="AH40" i="7"/>
  <c r="AG40" i="7"/>
  <c r="AF40" i="7"/>
  <c r="AE40" i="7"/>
  <c r="AD40" i="7"/>
  <c r="AC40" i="7"/>
  <c r="AN40" i="12"/>
  <c r="AM40" i="12"/>
  <c r="AL40" i="12"/>
  <c r="AK40" i="12"/>
  <c r="AF40" i="12"/>
  <c r="AE40" i="12"/>
  <c r="AD40" i="12"/>
  <c r="AH40" i="12"/>
  <c r="AC40" i="12"/>
  <c r="AG40" i="12" s="1"/>
  <c r="AP40" i="14"/>
  <c r="AJ40" i="11" s="1"/>
  <c r="AO40" i="14"/>
  <c r="AN40" i="14"/>
  <c r="AH40" i="11"/>
  <c r="AM40" i="14"/>
  <c r="AI40" i="10"/>
  <c r="AC43" i="12"/>
  <c r="AD43" i="12"/>
  <c r="AE43" i="12"/>
  <c r="AF43" i="12"/>
  <c r="AG43" i="12"/>
  <c r="AH43" i="12"/>
  <c r="AK43" i="12"/>
  <c r="AL43" i="12"/>
  <c r="AM43" i="12"/>
  <c r="AN43" i="12"/>
  <c r="AI30" i="11"/>
  <c r="AH30" i="10"/>
  <c r="AP30" i="14"/>
  <c r="AJ30" i="11"/>
  <c r="AO30" i="14"/>
  <c r="AN30" i="14"/>
  <c r="AH30" i="11" s="1"/>
  <c r="AM30" i="14"/>
  <c r="AG30" i="10"/>
  <c r="AP43" i="17"/>
  <c r="AO43" i="17"/>
  <c r="AN43" i="17"/>
  <c r="AM43" i="17"/>
  <c r="AF43" i="17"/>
  <c r="AL43" i="17" s="1"/>
  <c r="AE43" i="17"/>
  <c r="AK43" i="17" s="1"/>
  <c r="AD43" i="17"/>
  <c r="AH43" i="17" s="1"/>
  <c r="AJ43" i="17" s="1"/>
  <c r="AC43" i="17"/>
  <c r="AG43" i="17" s="1"/>
  <c r="AI43" i="17" s="1"/>
  <c r="AN43" i="16"/>
  <c r="AM43" i="16"/>
  <c r="AL43" i="16"/>
  <c r="AK43" i="16"/>
  <c r="AF43" i="16"/>
  <c r="AE43" i="16"/>
  <c r="AD43" i="16"/>
  <c r="AH43" i="16" s="1"/>
  <c r="AJ43" i="16" s="1"/>
  <c r="AC43" i="16"/>
  <c r="AG43" i="16" s="1"/>
  <c r="AI43" i="16" s="1"/>
  <c r="AN43" i="15"/>
  <c r="AM43" i="15"/>
  <c r="AL43" i="15"/>
  <c r="AK43" i="15"/>
  <c r="AF43" i="15"/>
  <c r="AE43" i="15"/>
  <c r="AD43" i="15"/>
  <c r="AH43" i="15" s="1"/>
  <c r="AJ43" i="15" s="1"/>
  <c r="AC43" i="15"/>
  <c r="AG43" i="15" s="1"/>
  <c r="AI43" i="15" s="1"/>
  <c r="AI43" i="11"/>
  <c r="AG43" i="11"/>
  <c r="AF43" i="11"/>
  <c r="AE43" i="11"/>
  <c r="AD43" i="11"/>
  <c r="AC43" i="11"/>
  <c r="AJ43" i="10"/>
  <c r="AH43" i="10"/>
  <c r="AF43" i="10"/>
  <c r="AE43" i="10"/>
  <c r="AD43" i="10"/>
  <c r="AC43" i="10"/>
  <c r="AJ43" i="6"/>
  <c r="AI43" i="6"/>
  <c r="AH43" i="6"/>
  <c r="AG43" i="6"/>
  <c r="AF43" i="6"/>
  <c r="AE43" i="6"/>
  <c r="AD43" i="6"/>
  <c r="AC43" i="6"/>
  <c r="AN43" i="13"/>
  <c r="AM43" i="13"/>
  <c r="AL43" i="13"/>
  <c r="AK43" i="13"/>
  <c r="AF43" i="13"/>
  <c r="AE43" i="13"/>
  <c r="AD43" i="13"/>
  <c r="AH43" i="13" s="1"/>
  <c r="AJ43" i="13" s="1"/>
  <c r="AC43" i="13"/>
  <c r="AG43" i="13" s="1"/>
  <c r="AI43" i="13" s="1"/>
  <c r="AJ43" i="7"/>
  <c r="AI43" i="7"/>
  <c r="AH43" i="7"/>
  <c r="AG43" i="7"/>
  <c r="AF43" i="7"/>
  <c r="AE43" i="7"/>
  <c r="AD43" i="7"/>
  <c r="AC43" i="7"/>
  <c r="AN42" i="12"/>
  <c r="AM42" i="12"/>
  <c r="AL42" i="12"/>
  <c r="AK42" i="12"/>
  <c r="AF42" i="12"/>
  <c r="AE42" i="12"/>
  <c r="AD42" i="12"/>
  <c r="AH42" i="12" s="1"/>
  <c r="AC42" i="12"/>
  <c r="AG42" i="12"/>
  <c r="AJ43" i="9"/>
  <c r="AI43" i="9"/>
  <c r="AH43" i="9"/>
  <c r="AG43" i="9"/>
  <c r="AF43" i="9"/>
  <c r="AE43" i="9"/>
  <c r="AD43" i="9"/>
  <c r="AC43" i="9"/>
  <c r="AJ43" i="5"/>
  <c r="AI43" i="5"/>
  <c r="AH43" i="5"/>
  <c r="AG43" i="5"/>
  <c r="AF43" i="5"/>
  <c r="AE43" i="5"/>
  <c r="AD43" i="5"/>
  <c r="AC43" i="5"/>
  <c r="AP43" i="14"/>
  <c r="AO43" i="14"/>
  <c r="AI43" i="10" s="1"/>
  <c r="AN43" i="14"/>
  <c r="AH43" i="11" s="1"/>
  <c r="AM43" i="14"/>
  <c r="AG43" i="10"/>
  <c r="AN4" i="14"/>
  <c r="AO4" i="14"/>
  <c r="AM4" i="14"/>
  <c r="AO15" i="14"/>
  <c r="AI15" i="10" s="1"/>
  <c r="AO35" i="14"/>
  <c r="AO28" i="14"/>
  <c r="AI28" i="10"/>
  <c r="AI15" i="11"/>
  <c r="AH15" i="10"/>
  <c r="AP15" i="14"/>
  <c r="AJ15" i="11"/>
  <c r="AN15" i="14"/>
  <c r="AH15" i="11" s="1"/>
  <c r="AM15" i="14"/>
  <c r="AG15" i="10" s="1"/>
  <c r="C37" i="14"/>
  <c r="AP10" i="14"/>
  <c r="AJ10" i="11" s="1"/>
  <c r="C31" i="14"/>
  <c r="AI29" i="11"/>
  <c r="AH29" i="10"/>
  <c r="AP29" i="14"/>
  <c r="AJ29" i="11"/>
  <c r="AO29" i="14"/>
  <c r="AN29" i="14"/>
  <c r="AH29" i="11" s="1"/>
  <c r="AM29" i="14"/>
  <c r="AP44" i="17"/>
  <c r="AO44" i="17"/>
  <c r="AN44" i="17"/>
  <c r="AM44" i="17"/>
  <c r="AF44" i="17"/>
  <c r="AL44" i="17" s="1"/>
  <c r="AE44" i="17"/>
  <c r="AK44" i="17"/>
  <c r="AD44" i="17"/>
  <c r="AH44" i="17" s="1"/>
  <c r="AJ44" i="17" s="1"/>
  <c r="AC44" i="17"/>
  <c r="AG44" i="17" s="1"/>
  <c r="AI44" i="17" s="1"/>
  <c r="AN44" i="16"/>
  <c r="AM44" i="16"/>
  <c r="AL44" i="16"/>
  <c r="AK44" i="16"/>
  <c r="AF44" i="16"/>
  <c r="AE44" i="16"/>
  <c r="AD44" i="16"/>
  <c r="AH44" i="16" s="1"/>
  <c r="AJ44" i="16" s="1"/>
  <c r="AC44" i="16"/>
  <c r="AG44" i="16"/>
  <c r="AI44" i="16" s="1"/>
  <c r="AN44" i="15"/>
  <c r="AM44" i="15"/>
  <c r="AL44" i="15"/>
  <c r="AK44" i="15"/>
  <c r="AF44" i="15"/>
  <c r="AE44" i="15"/>
  <c r="AD44" i="15"/>
  <c r="AH44" i="15" s="1"/>
  <c r="AJ44" i="15" s="1"/>
  <c r="AC44" i="15"/>
  <c r="AG44" i="15" s="1"/>
  <c r="AI44" i="15" s="1"/>
  <c r="AI44" i="11"/>
  <c r="AG44" i="11"/>
  <c r="AF44" i="11"/>
  <c r="AE44" i="11"/>
  <c r="AD44" i="11"/>
  <c r="AC44" i="11"/>
  <c r="AJ44" i="10"/>
  <c r="AH44" i="10"/>
  <c r="AF44" i="10"/>
  <c r="AE44" i="10"/>
  <c r="AD44" i="10"/>
  <c r="AC44" i="10"/>
  <c r="AJ44" i="6"/>
  <c r="AI44" i="6"/>
  <c r="AH44" i="6"/>
  <c r="AG44" i="6"/>
  <c r="AF44" i="6"/>
  <c r="AE44" i="6"/>
  <c r="AD44" i="6"/>
  <c r="AC44" i="6"/>
  <c r="AN44" i="13"/>
  <c r="AM44" i="13"/>
  <c r="AL44" i="13"/>
  <c r="AK44" i="13"/>
  <c r="AF44" i="13"/>
  <c r="AE44" i="13"/>
  <c r="AD44" i="13"/>
  <c r="AH44" i="13" s="1"/>
  <c r="AJ44" i="13" s="1"/>
  <c r="AC44" i="13"/>
  <c r="AG44" i="13"/>
  <c r="AI44" i="13" s="1"/>
  <c r="AJ44" i="7"/>
  <c r="AI44" i="7"/>
  <c r="AH44" i="7"/>
  <c r="AG44" i="7"/>
  <c r="AF44" i="7"/>
  <c r="AE44" i="7"/>
  <c r="AD44" i="7"/>
  <c r="AC44" i="7"/>
  <c r="AN44" i="12"/>
  <c r="AM44" i="12"/>
  <c r="AL44" i="12"/>
  <c r="AK44" i="12"/>
  <c r="AF44" i="12"/>
  <c r="AE44" i="12"/>
  <c r="AD44" i="12"/>
  <c r="AH44" i="12" s="1"/>
  <c r="AC44" i="12"/>
  <c r="AG44" i="12" s="1"/>
  <c r="AJ44" i="9"/>
  <c r="AI44" i="9"/>
  <c r="AH44" i="9"/>
  <c r="AG44" i="9"/>
  <c r="AF44" i="9"/>
  <c r="AE44" i="9"/>
  <c r="AD44" i="9"/>
  <c r="AC44" i="9"/>
  <c r="AJ44" i="5"/>
  <c r="AI44" i="5"/>
  <c r="AH44" i="5"/>
  <c r="AG44" i="5"/>
  <c r="AF44" i="5"/>
  <c r="AE44" i="5"/>
  <c r="AD44" i="5"/>
  <c r="AC44" i="5"/>
  <c r="AP44" i="14"/>
  <c r="AJ44" i="11" s="1"/>
  <c r="AO44" i="14"/>
  <c r="AI44" i="10" s="1"/>
  <c r="AN44" i="14"/>
  <c r="AH44" i="11" s="1"/>
  <c r="AM44" i="14"/>
  <c r="AJ12" i="11"/>
  <c r="AO42" i="14"/>
  <c r="AI42" i="10" s="1"/>
  <c r="AO41" i="14"/>
  <c r="AI41" i="10" s="1"/>
  <c r="AO39" i="14"/>
  <c r="AI39" i="10" s="1"/>
  <c r="AO38" i="14"/>
  <c r="AI38" i="10" s="1"/>
  <c r="AO37" i="14"/>
  <c r="AI37" i="10" s="1"/>
  <c r="AO36" i="14"/>
  <c r="AI36" i="10" s="1"/>
  <c r="AO34" i="14"/>
  <c r="AI34" i="10" s="1"/>
  <c r="AO33" i="14"/>
  <c r="AI33" i="10" s="1"/>
  <c r="AO32" i="14"/>
  <c r="AI32" i="10" s="1"/>
  <c r="AO31" i="14"/>
  <c r="AI31" i="10" s="1"/>
  <c r="AO27" i="14"/>
  <c r="AI27" i="10" s="1"/>
  <c r="AO26" i="14"/>
  <c r="AI26" i="10" s="1"/>
  <c r="AO25" i="14"/>
  <c r="AO24" i="14"/>
  <c r="AI24" i="10" s="1"/>
  <c r="AO23" i="14"/>
  <c r="AI23" i="10" s="1"/>
  <c r="AO22" i="14"/>
  <c r="AI22" i="10" s="1"/>
  <c r="AO21" i="14"/>
  <c r="AI21" i="10"/>
  <c r="AO20" i="14"/>
  <c r="AI20" i="10" s="1"/>
  <c r="AO19" i="14"/>
  <c r="AI19" i="10" s="1"/>
  <c r="AO18" i="14"/>
  <c r="AO17" i="14"/>
  <c r="AI17" i="10" s="1"/>
  <c r="AO16" i="14"/>
  <c r="AI16" i="10" s="1"/>
  <c r="AO14" i="14"/>
  <c r="AI14" i="10" s="1"/>
  <c r="AO13" i="14"/>
  <c r="AO11" i="14"/>
  <c r="AI11" i="10" s="1"/>
  <c r="AO10" i="14"/>
  <c r="AI10" i="10" s="1"/>
  <c r="AO9" i="14"/>
  <c r="AO7" i="14"/>
  <c r="AI7" i="10" s="1"/>
  <c r="AO5" i="14"/>
  <c r="AI5" i="10" s="1"/>
  <c r="AP42" i="14"/>
  <c r="AJ42" i="11" s="1"/>
  <c r="AM42" i="14"/>
  <c r="AG42" i="10" s="1"/>
  <c r="AN42" i="14"/>
  <c r="AH42" i="11" s="1"/>
  <c r="AP35" i="14"/>
  <c r="AJ35" i="11" s="1"/>
  <c r="AM35" i="14"/>
  <c r="AN35" i="14"/>
  <c r="AH35" i="11" s="1"/>
  <c r="AM10" i="14"/>
  <c r="AG10" i="10" s="1"/>
  <c r="AN10" i="14"/>
  <c r="AH10" i="11"/>
  <c r="AP6" i="16"/>
  <c r="AI42" i="11"/>
  <c r="AI41" i="11"/>
  <c r="AI39" i="11"/>
  <c r="AI38" i="11"/>
  <c r="AI37" i="11"/>
  <c r="AI36" i="11"/>
  <c r="AI35" i="11"/>
  <c r="AI34" i="11"/>
  <c r="AI33" i="11"/>
  <c r="AI32" i="11"/>
  <c r="AI31" i="11"/>
  <c r="AI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4" i="11"/>
  <c r="AI13" i="11"/>
  <c r="AI12" i="11"/>
  <c r="AI11" i="11"/>
  <c r="AI10" i="11"/>
  <c r="AI9" i="11"/>
  <c r="AI7" i="11"/>
  <c r="AJ6" i="11"/>
  <c r="AI6" i="11"/>
  <c r="AI5" i="11"/>
  <c r="AH42" i="10"/>
  <c r="AH41" i="10"/>
  <c r="AH39" i="10"/>
  <c r="AH38" i="10"/>
  <c r="AH37" i="10"/>
  <c r="AH36" i="10"/>
  <c r="AH35" i="10"/>
  <c r="AH34" i="10"/>
  <c r="AH33" i="10"/>
  <c r="AH32" i="10"/>
  <c r="AH31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4" i="10"/>
  <c r="AH13" i="10"/>
  <c r="AH12" i="10"/>
  <c r="AH11" i="10"/>
  <c r="AH10" i="10"/>
  <c r="AH9" i="10"/>
  <c r="AH7" i="10"/>
  <c r="AI6" i="10"/>
  <c r="AH6" i="10"/>
  <c r="AH5" i="10"/>
  <c r="N21" i="6"/>
  <c r="M21" i="5"/>
  <c r="C21" i="14"/>
  <c r="AP37" i="14"/>
  <c r="AJ37" i="11" s="1"/>
  <c r="AN37" i="14"/>
  <c r="AH37" i="11" s="1"/>
  <c r="AM37" i="14"/>
  <c r="AG37" i="10"/>
  <c r="AL32" i="17"/>
  <c r="AF21" i="17"/>
  <c r="L21" i="17"/>
  <c r="P21" i="17"/>
  <c r="AL20" i="17"/>
  <c r="AL6" i="17"/>
  <c r="AK32" i="17"/>
  <c r="J21" i="17"/>
  <c r="N21" i="17" s="1"/>
  <c r="AE21" i="17"/>
  <c r="AK20" i="17"/>
  <c r="AK6" i="17"/>
  <c r="AP39" i="17"/>
  <c r="AO39" i="17"/>
  <c r="AN39" i="17"/>
  <c r="AM39" i="17"/>
  <c r="AF39" i="17"/>
  <c r="AL39" i="17" s="1"/>
  <c r="AE39" i="17"/>
  <c r="AK39" i="17"/>
  <c r="AD39" i="17"/>
  <c r="AH39" i="17" s="1"/>
  <c r="AJ39" i="17" s="1"/>
  <c r="AC39" i="17"/>
  <c r="AG39" i="17" s="1"/>
  <c r="AI39" i="17" s="1"/>
  <c r="AP38" i="17"/>
  <c r="AO38" i="17"/>
  <c r="AN38" i="17"/>
  <c r="AM38" i="17"/>
  <c r="AF38" i="17"/>
  <c r="AL38" i="17"/>
  <c r="AE38" i="17"/>
  <c r="AK38" i="17" s="1"/>
  <c r="AD38" i="17"/>
  <c r="AH38" i="17" s="1"/>
  <c r="AJ38" i="17" s="1"/>
  <c r="AC38" i="17"/>
  <c r="AG38" i="17" s="1"/>
  <c r="AI38" i="17"/>
  <c r="AP37" i="17"/>
  <c r="AO37" i="17"/>
  <c r="AN37" i="17"/>
  <c r="AM37" i="17"/>
  <c r="AF37" i="17"/>
  <c r="AL37" i="17" s="1"/>
  <c r="AE37" i="17"/>
  <c r="AK37" i="17" s="1"/>
  <c r="AD37" i="17"/>
  <c r="AH37" i="17" s="1"/>
  <c r="AJ37" i="17" s="1"/>
  <c r="AC37" i="17"/>
  <c r="AG37" i="17" s="1"/>
  <c r="AI37" i="17" s="1"/>
  <c r="AP36" i="17"/>
  <c r="AO36" i="17"/>
  <c r="AN36" i="17"/>
  <c r="AM36" i="17"/>
  <c r="AF36" i="17"/>
  <c r="AL36" i="17" s="1"/>
  <c r="AE36" i="17"/>
  <c r="AK36" i="17" s="1"/>
  <c r="AD36" i="17"/>
  <c r="AH36" i="17"/>
  <c r="AJ36" i="17" s="1"/>
  <c r="AC36" i="17"/>
  <c r="AG36" i="17"/>
  <c r="AI36" i="17" s="1"/>
  <c r="AP35" i="17"/>
  <c r="AO35" i="17"/>
  <c r="AN35" i="17"/>
  <c r="AM35" i="17"/>
  <c r="AF35" i="17"/>
  <c r="AL35" i="17" s="1"/>
  <c r="AE35" i="17"/>
  <c r="AK35" i="17"/>
  <c r="AD35" i="17"/>
  <c r="AH35" i="17" s="1"/>
  <c r="AJ35" i="17" s="1"/>
  <c r="AC35" i="17"/>
  <c r="AG35" i="17" s="1"/>
  <c r="AI35" i="17" s="1"/>
  <c r="AP34" i="17"/>
  <c r="AO34" i="17"/>
  <c r="AN34" i="17"/>
  <c r="AM34" i="17"/>
  <c r="AF34" i="17"/>
  <c r="AL34" i="17"/>
  <c r="AE34" i="17"/>
  <c r="AK34" i="17" s="1"/>
  <c r="AD34" i="17"/>
  <c r="AH34" i="17" s="1"/>
  <c r="AJ34" i="17"/>
  <c r="AC34" i="17"/>
  <c r="AG34" i="17"/>
  <c r="AI34" i="17" s="1"/>
  <c r="AP33" i="17"/>
  <c r="AO33" i="17"/>
  <c r="AN33" i="17"/>
  <c r="AM33" i="17"/>
  <c r="AF33" i="17"/>
  <c r="AL33" i="17" s="1"/>
  <c r="AE33" i="17"/>
  <c r="AK33" i="17"/>
  <c r="AD33" i="17"/>
  <c r="AH33" i="17" s="1"/>
  <c r="AJ33" i="17" s="1"/>
  <c r="AC33" i="17"/>
  <c r="AG33" i="17" s="1"/>
  <c r="AI33" i="17" s="1"/>
  <c r="AP32" i="17"/>
  <c r="AO32" i="17"/>
  <c r="AN32" i="17"/>
  <c r="AM32" i="17"/>
  <c r="AH32" i="17"/>
  <c r="AJ32" i="17"/>
  <c r="AG32" i="17"/>
  <c r="AI32" i="17" s="1"/>
  <c r="AP31" i="17"/>
  <c r="AO31" i="17"/>
  <c r="AN31" i="17"/>
  <c r="AM31" i="17"/>
  <c r="AF31" i="17"/>
  <c r="AL31" i="17" s="1"/>
  <c r="AE31" i="17"/>
  <c r="AK31" i="17" s="1"/>
  <c r="AD31" i="17"/>
  <c r="AH31" i="17"/>
  <c r="AJ31" i="17" s="1"/>
  <c r="AC31" i="17"/>
  <c r="AG31" i="17"/>
  <c r="AI31" i="17" s="1"/>
  <c r="AP28" i="17"/>
  <c r="AO28" i="17"/>
  <c r="AN28" i="17"/>
  <c r="AM28" i="17"/>
  <c r="AF28" i="17"/>
  <c r="AL28" i="17" s="1"/>
  <c r="AE28" i="17"/>
  <c r="AK28" i="17"/>
  <c r="AD28" i="17"/>
  <c r="AH28" i="17" s="1"/>
  <c r="AJ28" i="17" s="1"/>
  <c r="AC28" i="17"/>
  <c r="AG28" i="17" s="1"/>
  <c r="AI28" i="17" s="1"/>
  <c r="AP27" i="17"/>
  <c r="AO27" i="17"/>
  <c r="AN27" i="17"/>
  <c r="AM27" i="17"/>
  <c r="AF27" i="17"/>
  <c r="AL27" i="17" s="1"/>
  <c r="AE27" i="17"/>
  <c r="AK27" i="17" s="1"/>
  <c r="AD27" i="17"/>
  <c r="AH27" i="17"/>
  <c r="AJ27" i="17" s="1"/>
  <c r="AC27" i="17"/>
  <c r="AG27" i="17"/>
  <c r="AI27" i="17" s="1"/>
  <c r="P27" i="17"/>
  <c r="O27" i="17"/>
  <c r="N27" i="17"/>
  <c r="M27" i="17"/>
  <c r="AP26" i="17"/>
  <c r="AO26" i="17"/>
  <c r="AN26" i="17"/>
  <c r="AM26" i="17"/>
  <c r="AF26" i="17"/>
  <c r="AL26" i="17" s="1"/>
  <c r="AE26" i="17"/>
  <c r="AK26" i="17"/>
  <c r="AD26" i="17"/>
  <c r="AH26" i="17" s="1"/>
  <c r="AJ26" i="17" s="1"/>
  <c r="AC26" i="17"/>
  <c r="AG26" i="17" s="1"/>
  <c r="AI26" i="17" s="1"/>
  <c r="AP25" i="17"/>
  <c r="AO25" i="17"/>
  <c r="AN25" i="17"/>
  <c r="AM25" i="17"/>
  <c r="AF25" i="17"/>
  <c r="AL25" i="17"/>
  <c r="AE25" i="17"/>
  <c r="AK25" i="17" s="1"/>
  <c r="AD25" i="17"/>
  <c r="AH25" i="17" s="1"/>
  <c r="AJ25" i="17"/>
  <c r="AC25" i="17"/>
  <c r="AG25" i="17"/>
  <c r="AI25" i="17" s="1"/>
  <c r="AP24" i="17"/>
  <c r="AO24" i="17"/>
  <c r="AN24" i="17"/>
  <c r="AM24" i="17"/>
  <c r="AF24" i="17"/>
  <c r="AL24" i="17" s="1"/>
  <c r="AE24" i="17"/>
  <c r="AK24" i="17"/>
  <c r="AD24" i="17"/>
  <c r="AH24" i="17" s="1"/>
  <c r="AJ24" i="17" s="1"/>
  <c r="AC24" i="17"/>
  <c r="AG24" i="17" s="1"/>
  <c r="AI24" i="17" s="1"/>
  <c r="AP23" i="17"/>
  <c r="AO23" i="17"/>
  <c r="AN23" i="17"/>
  <c r="AM23" i="17"/>
  <c r="AF23" i="17"/>
  <c r="AL23" i="17"/>
  <c r="AE23" i="17"/>
  <c r="AK23" i="17" s="1"/>
  <c r="AD23" i="17"/>
  <c r="AH23" i="17" s="1"/>
  <c r="AJ23" i="17"/>
  <c r="AC23" i="17"/>
  <c r="AG23" i="17"/>
  <c r="AI23" i="17" s="1"/>
  <c r="AP22" i="17"/>
  <c r="AO22" i="17"/>
  <c r="AN22" i="17"/>
  <c r="AM22" i="17"/>
  <c r="AF22" i="17"/>
  <c r="AL22" i="17" s="1"/>
  <c r="AE22" i="17"/>
  <c r="AK22" i="17"/>
  <c r="AD22" i="17"/>
  <c r="AH22" i="17" s="1"/>
  <c r="AJ22" i="17" s="1"/>
  <c r="AC22" i="17"/>
  <c r="AG22" i="17" s="1"/>
  <c r="AI22" i="17" s="1"/>
  <c r="AP21" i="17"/>
  <c r="AO21" i="17"/>
  <c r="AN21" i="17"/>
  <c r="AM21" i="17"/>
  <c r="AD21" i="17"/>
  <c r="K21" i="17"/>
  <c r="AC21" i="17"/>
  <c r="I21" i="17"/>
  <c r="AH20" i="17"/>
  <c r="AJ20" i="17" s="1"/>
  <c r="AG20" i="17"/>
  <c r="AI20" i="17" s="1"/>
  <c r="AP19" i="17"/>
  <c r="AO19" i="17"/>
  <c r="AN19" i="17"/>
  <c r="AM19" i="17"/>
  <c r="AF19" i="17"/>
  <c r="AL19" i="17"/>
  <c r="AE19" i="17"/>
  <c r="AK19" i="17" s="1"/>
  <c r="AD19" i="17"/>
  <c r="AH19" i="17" s="1"/>
  <c r="AJ19" i="17" s="1"/>
  <c r="AC19" i="17"/>
  <c r="AG19" i="17" s="1"/>
  <c r="AI19" i="17"/>
  <c r="AP18" i="17"/>
  <c r="AO18" i="17"/>
  <c r="AN18" i="17"/>
  <c r="AM18" i="17"/>
  <c r="AF18" i="17"/>
  <c r="AL18" i="17" s="1"/>
  <c r="AE18" i="17"/>
  <c r="AK18" i="17" s="1"/>
  <c r="AD18" i="17"/>
  <c r="AH18" i="17" s="1"/>
  <c r="AJ18" i="17" s="1"/>
  <c r="AC18" i="17"/>
  <c r="AG18" i="17" s="1"/>
  <c r="AI18" i="17" s="1"/>
  <c r="P18" i="17"/>
  <c r="O18" i="17"/>
  <c r="N18" i="17"/>
  <c r="M18" i="17"/>
  <c r="AP17" i="17"/>
  <c r="AO17" i="17"/>
  <c r="AN17" i="17"/>
  <c r="AM17" i="17"/>
  <c r="AF17" i="17"/>
  <c r="AL17" i="17" s="1"/>
  <c r="AE17" i="17"/>
  <c r="AK17" i="17" s="1"/>
  <c r="AD17" i="17"/>
  <c r="AH17" i="17"/>
  <c r="AJ17" i="17" s="1"/>
  <c r="AC17" i="17"/>
  <c r="AG17" i="17" s="1"/>
  <c r="AI17" i="17"/>
  <c r="AP16" i="17"/>
  <c r="AO16" i="17"/>
  <c r="AN16" i="17"/>
  <c r="AM16" i="17"/>
  <c r="AF16" i="17"/>
  <c r="AL16" i="17" s="1"/>
  <c r="AE16" i="17"/>
  <c r="AK16" i="17" s="1"/>
  <c r="AD16" i="17"/>
  <c r="AH16" i="17" s="1"/>
  <c r="AJ16" i="17" s="1"/>
  <c r="AC16" i="17"/>
  <c r="AG16" i="17" s="1"/>
  <c r="AI16" i="17" s="1"/>
  <c r="AP14" i="17"/>
  <c r="AO14" i="17"/>
  <c r="AN14" i="17"/>
  <c r="AM14" i="17"/>
  <c r="AF14" i="17"/>
  <c r="AL14" i="17" s="1"/>
  <c r="AE14" i="17"/>
  <c r="AK14" i="17" s="1"/>
  <c r="AD14" i="17"/>
  <c r="AH14" i="17"/>
  <c r="AJ14" i="17" s="1"/>
  <c r="AC14" i="17"/>
  <c r="AG14" i="17" s="1"/>
  <c r="AI14" i="17"/>
  <c r="AP13" i="17"/>
  <c r="AO13" i="17"/>
  <c r="AN13" i="17"/>
  <c r="AM13" i="17"/>
  <c r="AF13" i="17"/>
  <c r="AL13" i="17" s="1"/>
  <c r="AE13" i="17"/>
  <c r="AK13" i="17" s="1"/>
  <c r="AD13" i="17"/>
  <c r="AH13" i="17" s="1"/>
  <c r="AJ13" i="17" s="1"/>
  <c r="AC13" i="17"/>
  <c r="AG13" i="17"/>
  <c r="AI13" i="17" s="1"/>
  <c r="AP12" i="17"/>
  <c r="AO12" i="17"/>
  <c r="AN12" i="17"/>
  <c r="AM12" i="17"/>
  <c r="AF12" i="17"/>
  <c r="AL12" i="17"/>
  <c r="AE12" i="17"/>
  <c r="AK12" i="17" s="1"/>
  <c r="AD12" i="17"/>
  <c r="AH12" i="17" s="1"/>
  <c r="AJ12" i="17" s="1"/>
  <c r="AC12" i="17"/>
  <c r="AG12" i="17" s="1"/>
  <c r="AI12" i="17" s="1"/>
  <c r="AP11" i="17"/>
  <c r="AO11" i="17"/>
  <c r="AN11" i="17"/>
  <c r="AM11" i="17"/>
  <c r="AF11" i="17"/>
  <c r="AL11" i="17" s="1"/>
  <c r="AE11" i="17"/>
  <c r="AK11" i="17" s="1"/>
  <c r="AD11" i="17"/>
  <c r="AH11" i="17" s="1"/>
  <c r="AJ11" i="17" s="1"/>
  <c r="AC11" i="17"/>
  <c r="AG11" i="17"/>
  <c r="AI11" i="17" s="1"/>
  <c r="AP10" i="17"/>
  <c r="AO10" i="17"/>
  <c r="AN10" i="17"/>
  <c r="AM10" i="17"/>
  <c r="AF10" i="17"/>
  <c r="AL10" i="17"/>
  <c r="AE10" i="17"/>
  <c r="AK10" i="17" s="1"/>
  <c r="AD10" i="17"/>
  <c r="AH10" i="17" s="1"/>
  <c r="AJ10" i="17" s="1"/>
  <c r="AC10" i="17"/>
  <c r="AG10" i="17" s="1"/>
  <c r="AI10" i="17" s="1"/>
  <c r="AP9" i="17"/>
  <c r="AO9" i="17"/>
  <c r="AN9" i="17"/>
  <c r="AM9" i="17"/>
  <c r="AF9" i="17"/>
  <c r="AL9" i="17" s="1"/>
  <c r="AE9" i="17"/>
  <c r="AK9" i="17" s="1"/>
  <c r="AD9" i="17"/>
  <c r="AH9" i="17" s="1"/>
  <c r="AJ9" i="17" s="1"/>
  <c r="AC9" i="17"/>
  <c r="AG9" i="17" s="1"/>
  <c r="AI9" i="17" s="1"/>
  <c r="AP7" i="17"/>
  <c r="AO7" i="17"/>
  <c r="AN7" i="17"/>
  <c r="AM7" i="17"/>
  <c r="AF7" i="17"/>
  <c r="AE7" i="17"/>
  <c r="AD7" i="17"/>
  <c r="AC7" i="17"/>
  <c r="L7" i="17"/>
  <c r="P7" i="17" s="1"/>
  <c r="K7" i="17"/>
  <c r="J7" i="17"/>
  <c r="I7" i="17"/>
  <c r="AG7" i="17" s="1"/>
  <c r="AI7" i="17" s="1"/>
  <c r="AN6" i="17"/>
  <c r="AM6" i="17"/>
  <c r="AD6" i="17"/>
  <c r="AH6" i="17" s="1"/>
  <c r="AJ6" i="17" s="1"/>
  <c r="AC6" i="17"/>
  <c r="AG6" i="17"/>
  <c r="AI6" i="17" s="1"/>
  <c r="AP5" i="17"/>
  <c r="AO5" i="17"/>
  <c r="AN5" i="17"/>
  <c r="AM5" i="17"/>
  <c r="AF5" i="17"/>
  <c r="AL5" i="17" s="1"/>
  <c r="AE5" i="17"/>
  <c r="AK5" i="17" s="1"/>
  <c r="AD5" i="17"/>
  <c r="AH5" i="17" s="1"/>
  <c r="AJ5" i="17" s="1"/>
  <c r="AC5" i="17"/>
  <c r="AG5" i="17" s="1"/>
  <c r="AI5" i="17" s="1"/>
  <c r="AP4" i="17"/>
  <c r="AO4" i="17"/>
  <c r="AN4" i="17"/>
  <c r="AM4" i="17"/>
  <c r="AF4" i="17"/>
  <c r="AL4" i="17" s="1"/>
  <c r="AE4" i="17"/>
  <c r="AK4" i="17"/>
  <c r="AD4" i="17"/>
  <c r="AH4" i="17" s="1"/>
  <c r="AJ4" i="17" s="1"/>
  <c r="AC4" i="17"/>
  <c r="AG4" i="17" s="1"/>
  <c r="AI4" i="17" s="1"/>
  <c r="AN42" i="16"/>
  <c r="AM42" i="16"/>
  <c r="AL42" i="16"/>
  <c r="AK42" i="16"/>
  <c r="AF42" i="16"/>
  <c r="AE42" i="16"/>
  <c r="AD42" i="16"/>
  <c r="AH42" i="16" s="1"/>
  <c r="AJ42" i="16" s="1"/>
  <c r="AC42" i="16"/>
  <c r="AG42" i="16"/>
  <c r="AI42" i="16" s="1"/>
  <c r="AN41" i="16"/>
  <c r="AM41" i="16"/>
  <c r="AL41" i="16"/>
  <c r="AK41" i="16"/>
  <c r="AF41" i="16"/>
  <c r="AE41" i="16"/>
  <c r="AD41" i="16"/>
  <c r="AH41" i="16" s="1"/>
  <c r="AJ41" i="16" s="1"/>
  <c r="AC41" i="16"/>
  <c r="AG41" i="16" s="1"/>
  <c r="AI41" i="16" s="1"/>
  <c r="AN39" i="16"/>
  <c r="AM39" i="16"/>
  <c r="AL39" i="16"/>
  <c r="AK39" i="16"/>
  <c r="AF39" i="16"/>
  <c r="AE39" i="16"/>
  <c r="AD39" i="16"/>
  <c r="AH39" i="16"/>
  <c r="AJ39" i="16" s="1"/>
  <c r="AC39" i="16"/>
  <c r="AG39" i="16"/>
  <c r="AI39" i="16" s="1"/>
  <c r="AN38" i="16"/>
  <c r="AM38" i="16"/>
  <c r="AL38" i="16"/>
  <c r="AK38" i="16"/>
  <c r="AF38" i="16"/>
  <c r="AE38" i="16"/>
  <c r="AD38" i="16"/>
  <c r="AH38" i="16" s="1"/>
  <c r="AJ38" i="16" s="1"/>
  <c r="AC38" i="16"/>
  <c r="AG38" i="16" s="1"/>
  <c r="AI38" i="16" s="1"/>
  <c r="AN37" i="16"/>
  <c r="AM37" i="16"/>
  <c r="AL37" i="16"/>
  <c r="AK37" i="16"/>
  <c r="AF37" i="16"/>
  <c r="AE37" i="16"/>
  <c r="AD37" i="16"/>
  <c r="AH37" i="16" s="1"/>
  <c r="AJ37" i="16" s="1"/>
  <c r="AC37" i="16"/>
  <c r="AG37" i="16"/>
  <c r="AI37" i="16" s="1"/>
  <c r="AN36" i="16"/>
  <c r="AM36" i="16"/>
  <c r="AL36" i="16"/>
  <c r="AK36" i="16"/>
  <c r="AF36" i="16"/>
  <c r="AE36" i="16"/>
  <c r="AD36" i="16"/>
  <c r="AH36" i="16" s="1"/>
  <c r="AJ36" i="16" s="1"/>
  <c r="AC36" i="16"/>
  <c r="AG36" i="16" s="1"/>
  <c r="AI36" i="16" s="1"/>
  <c r="AN35" i="16"/>
  <c r="AM35" i="16"/>
  <c r="AL35" i="16"/>
  <c r="AK35" i="16"/>
  <c r="AF35" i="16"/>
  <c r="AE35" i="16"/>
  <c r="AD35" i="16"/>
  <c r="AH35" i="16"/>
  <c r="AJ35" i="16" s="1"/>
  <c r="AC35" i="16"/>
  <c r="AG35" i="16"/>
  <c r="AI35" i="16" s="1"/>
  <c r="AN34" i="16"/>
  <c r="AM34" i="16"/>
  <c r="AL34" i="16"/>
  <c r="AK34" i="16"/>
  <c r="AF34" i="16"/>
  <c r="AE34" i="16"/>
  <c r="AD34" i="16"/>
  <c r="AH34" i="16" s="1"/>
  <c r="AJ34" i="16" s="1"/>
  <c r="AC34" i="16"/>
  <c r="AG34" i="16" s="1"/>
  <c r="AI34" i="16" s="1"/>
  <c r="AN33" i="16"/>
  <c r="AM33" i="16"/>
  <c r="AL33" i="16"/>
  <c r="AK33" i="16"/>
  <c r="AF33" i="16"/>
  <c r="AE33" i="16"/>
  <c r="AD33" i="16"/>
  <c r="AH33" i="16" s="1"/>
  <c r="AJ33" i="16" s="1"/>
  <c r="AC33" i="16"/>
  <c r="AG33" i="16"/>
  <c r="AI33" i="16" s="1"/>
  <c r="AN32" i="16"/>
  <c r="AM32" i="16"/>
  <c r="AL32" i="16"/>
  <c r="AK32" i="16"/>
  <c r="AH32" i="16"/>
  <c r="AJ32" i="16" s="1"/>
  <c r="AG32" i="16"/>
  <c r="AI32" i="16"/>
  <c r="AN31" i="16"/>
  <c r="AM31" i="16"/>
  <c r="AL31" i="16"/>
  <c r="AK31" i="16"/>
  <c r="AF31" i="16"/>
  <c r="AE31" i="16"/>
  <c r="AD31" i="16"/>
  <c r="AH31" i="16"/>
  <c r="AJ31" i="16" s="1"/>
  <c r="AC31" i="16"/>
  <c r="AG31" i="16"/>
  <c r="AI31" i="16" s="1"/>
  <c r="AN28" i="16"/>
  <c r="AM28" i="16"/>
  <c r="AL28" i="16"/>
  <c r="AK28" i="16"/>
  <c r="AF28" i="16"/>
  <c r="AE28" i="16"/>
  <c r="AD28" i="16"/>
  <c r="AH28" i="16" s="1"/>
  <c r="AJ28" i="16" s="1"/>
  <c r="AC28" i="16"/>
  <c r="AG28" i="16" s="1"/>
  <c r="AI28" i="16" s="1"/>
  <c r="AN27" i="16"/>
  <c r="AM27" i="16"/>
  <c r="AL27" i="16"/>
  <c r="AK27" i="16"/>
  <c r="AF27" i="16"/>
  <c r="AE27" i="16"/>
  <c r="AD27" i="16"/>
  <c r="AH27" i="16" s="1"/>
  <c r="AJ27" i="16" s="1"/>
  <c r="AC27" i="16"/>
  <c r="AG27" i="16"/>
  <c r="AI27" i="16" s="1"/>
  <c r="P27" i="16"/>
  <c r="O27" i="16"/>
  <c r="N27" i="16"/>
  <c r="M27" i="16"/>
  <c r="AN26" i="16"/>
  <c r="AM26" i="16"/>
  <c r="AL26" i="16"/>
  <c r="AK26" i="16"/>
  <c r="AF26" i="16"/>
  <c r="AE26" i="16"/>
  <c r="AD26" i="16"/>
  <c r="AH26" i="16" s="1"/>
  <c r="AJ26" i="16" s="1"/>
  <c r="AC26" i="16"/>
  <c r="AG26" i="16" s="1"/>
  <c r="AI26" i="16"/>
  <c r="AN25" i="16"/>
  <c r="AM25" i="16"/>
  <c r="AL25" i="16"/>
  <c r="AK25" i="16"/>
  <c r="AF25" i="16"/>
  <c r="AE25" i="16"/>
  <c r="AD25" i="16"/>
  <c r="AH25" i="16"/>
  <c r="AJ25" i="16" s="1"/>
  <c r="AC25" i="16"/>
  <c r="AG25" i="16"/>
  <c r="AI25" i="16" s="1"/>
  <c r="AN24" i="16"/>
  <c r="AM24" i="16"/>
  <c r="AL24" i="16"/>
  <c r="AK24" i="16"/>
  <c r="AF24" i="16"/>
  <c r="AE24" i="16"/>
  <c r="AD24" i="16"/>
  <c r="AH24" i="16" s="1"/>
  <c r="AJ24" i="16" s="1"/>
  <c r="AC24" i="16"/>
  <c r="AG24" i="16" s="1"/>
  <c r="AI24" i="16" s="1"/>
  <c r="AN23" i="16"/>
  <c r="AM23" i="16"/>
  <c r="AL23" i="16"/>
  <c r="AK23" i="16"/>
  <c r="AF23" i="16"/>
  <c r="AE23" i="16"/>
  <c r="AD23" i="16"/>
  <c r="AH23" i="16" s="1"/>
  <c r="AJ23" i="16" s="1"/>
  <c r="AC23" i="16"/>
  <c r="AG23" i="16"/>
  <c r="AI23" i="16" s="1"/>
  <c r="AN22" i="16"/>
  <c r="AM22" i="16"/>
  <c r="AL22" i="16"/>
  <c r="AK22" i="16"/>
  <c r="AF22" i="16"/>
  <c r="AE22" i="16"/>
  <c r="AD22" i="16"/>
  <c r="AH22" i="16" s="1"/>
  <c r="AJ22" i="16" s="1"/>
  <c r="AC22" i="16"/>
  <c r="AG22" i="16" s="1"/>
  <c r="AI22" i="16"/>
  <c r="AN21" i="16"/>
  <c r="AM21" i="16"/>
  <c r="AL21" i="16"/>
  <c r="AK21" i="16"/>
  <c r="AF21" i="16"/>
  <c r="AE21" i="16"/>
  <c r="AD21" i="16"/>
  <c r="AC21" i="16"/>
  <c r="L21" i="16"/>
  <c r="P21" i="16" s="1"/>
  <c r="K21" i="16"/>
  <c r="AH21" i="16" s="1"/>
  <c r="AJ21" i="16" s="1"/>
  <c r="J21" i="16"/>
  <c r="N21" i="16"/>
  <c r="I21" i="16"/>
  <c r="AH20" i="16"/>
  <c r="AJ20" i="16" s="1"/>
  <c r="AG20" i="16"/>
  <c r="AI20" i="16"/>
  <c r="AN19" i="16"/>
  <c r="AM19" i="16"/>
  <c r="AL19" i="16"/>
  <c r="AK19" i="16"/>
  <c r="AF19" i="16"/>
  <c r="AE19" i="16"/>
  <c r="AD19" i="16"/>
  <c r="AH19" i="16"/>
  <c r="AJ19" i="16" s="1"/>
  <c r="AC19" i="16"/>
  <c r="AG19" i="16" s="1"/>
  <c r="AI19" i="16" s="1"/>
  <c r="AN18" i="16"/>
  <c r="AM18" i="16"/>
  <c r="AL18" i="16"/>
  <c r="AK18" i="16"/>
  <c r="AF18" i="16"/>
  <c r="AE18" i="16"/>
  <c r="AD18" i="16"/>
  <c r="AH18" i="16" s="1"/>
  <c r="AJ18" i="16" s="1"/>
  <c r="AC18" i="16"/>
  <c r="AG18" i="16"/>
  <c r="AI18" i="16" s="1"/>
  <c r="P18" i="16"/>
  <c r="O18" i="16"/>
  <c r="N18" i="16"/>
  <c r="M18" i="16"/>
  <c r="AN17" i="16"/>
  <c r="AM17" i="16"/>
  <c r="AL17" i="16"/>
  <c r="AK17" i="16"/>
  <c r="AF17" i="16"/>
  <c r="AE17" i="16"/>
  <c r="AD17" i="16"/>
  <c r="AH17" i="16" s="1"/>
  <c r="AJ17" i="16" s="1"/>
  <c r="AC17" i="16"/>
  <c r="AG17" i="16"/>
  <c r="AI17" i="16" s="1"/>
  <c r="AN16" i="16"/>
  <c r="AM16" i="16"/>
  <c r="AL16" i="16"/>
  <c r="AK16" i="16"/>
  <c r="AF16" i="16"/>
  <c r="AE16" i="16"/>
  <c r="AD16" i="16"/>
  <c r="AH16" i="16" s="1"/>
  <c r="AJ16" i="16" s="1"/>
  <c r="AC16" i="16"/>
  <c r="AG16" i="16" s="1"/>
  <c r="AI16" i="16" s="1"/>
  <c r="AN14" i="16"/>
  <c r="AM14" i="16"/>
  <c r="AL14" i="16"/>
  <c r="AK14" i="16"/>
  <c r="AF14" i="16"/>
  <c r="AE14" i="16"/>
  <c r="AD14" i="16"/>
  <c r="AH14" i="16"/>
  <c r="AJ14" i="16" s="1"/>
  <c r="AC14" i="16"/>
  <c r="AG14" i="16"/>
  <c r="AI14" i="16" s="1"/>
  <c r="AN13" i="16"/>
  <c r="AM13" i="16"/>
  <c r="AL13" i="16"/>
  <c r="AK13" i="16"/>
  <c r="AF13" i="16"/>
  <c r="AE13" i="16"/>
  <c r="AD13" i="16"/>
  <c r="AH13" i="16" s="1"/>
  <c r="AJ13" i="16" s="1"/>
  <c r="AC13" i="16"/>
  <c r="AG13" i="16"/>
  <c r="AI13" i="16" s="1"/>
  <c r="AN12" i="16"/>
  <c r="AM12" i="16"/>
  <c r="AL12" i="16"/>
  <c r="AK12" i="16"/>
  <c r="AF12" i="16"/>
  <c r="AE12" i="16"/>
  <c r="AD12" i="16"/>
  <c r="AH12" i="16" s="1"/>
  <c r="AJ12" i="16" s="1"/>
  <c r="AC12" i="16"/>
  <c r="AG12" i="16"/>
  <c r="AI12" i="16" s="1"/>
  <c r="AN11" i="16"/>
  <c r="AM11" i="16"/>
  <c r="AL11" i="16"/>
  <c r="AK11" i="16"/>
  <c r="AF11" i="16"/>
  <c r="AE11" i="16"/>
  <c r="AD11" i="16"/>
  <c r="AH11" i="16" s="1"/>
  <c r="AJ11" i="16" s="1"/>
  <c r="AC11" i="16"/>
  <c r="AG11" i="16" s="1"/>
  <c r="AI11" i="16" s="1"/>
  <c r="AN10" i="16"/>
  <c r="AM10" i="16"/>
  <c r="AL10" i="16"/>
  <c r="AK10" i="16"/>
  <c r="AF10" i="16"/>
  <c r="AE10" i="16"/>
  <c r="AD10" i="16"/>
  <c r="AH10" i="16"/>
  <c r="AJ10" i="16" s="1"/>
  <c r="AC10" i="16"/>
  <c r="AG10" i="16"/>
  <c r="AI10" i="16" s="1"/>
  <c r="AN9" i="16"/>
  <c r="AM9" i="16"/>
  <c r="AL9" i="16"/>
  <c r="AK9" i="16"/>
  <c r="AF9" i="16"/>
  <c r="AE9" i="16"/>
  <c r="AD9" i="16"/>
  <c r="AH9" i="16" s="1"/>
  <c r="AJ9" i="16" s="1"/>
  <c r="AC9" i="16"/>
  <c r="AG9" i="16"/>
  <c r="AI9" i="16" s="1"/>
  <c r="AN7" i="16"/>
  <c r="AM7" i="16"/>
  <c r="AL7" i="16"/>
  <c r="AK7" i="16"/>
  <c r="AF7" i="16"/>
  <c r="AE7" i="16"/>
  <c r="AD7" i="16"/>
  <c r="AC7" i="16"/>
  <c r="L7" i="16"/>
  <c r="P7" i="16" s="1"/>
  <c r="K7" i="16"/>
  <c r="O7" i="16" s="1"/>
  <c r="J7" i="16"/>
  <c r="N7" i="16" s="1"/>
  <c r="I7" i="16"/>
  <c r="M7" i="16"/>
  <c r="AL6" i="16"/>
  <c r="AK6" i="16"/>
  <c r="AD6" i="16"/>
  <c r="AH6" i="16"/>
  <c r="AJ6" i="16" s="1"/>
  <c r="AC6" i="16"/>
  <c r="AG6" i="16" s="1"/>
  <c r="AI6" i="16" s="1"/>
  <c r="AN5" i="16"/>
  <c r="AM5" i="16"/>
  <c r="AL5" i="16"/>
  <c r="AK5" i="16"/>
  <c r="AF5" i="16"/>
  <c r="AE5" i="16"/>
  <c r="AD5" i="16"/>
  <c r="AH5" i="16"/>
  <c r="AJ5" i="16"/>
  <c r="AC5" i="16"/>
  <c r="AG5" i="16" s="1"/>
  <c r="AI5" i="16" s="1"/>
  <c r="AN4" i="16"/>
  <c r="AM4" i="16"/>
  <c r="AL4" i="16"/>
  <c r="AK4" i="16"/>
  <c r="AF4" i="16"/>
  <c r="AE4" i="16"/>
  <c r="AD4" i="16"/>
  <c r="AH4" i="16"/>
  <c r="AJ4" i="16" s="1"/>
  <c r="AC4" i="16"/>
  <c r="AG4" i="16" s="1"/>
  <c r="AI4" i="16"/>
  <c r="I7" i="15"/>
  <c r="M7" i="15" s="1"/>
  <c r="J7" i="15"/>
  <c r="N7" i="15" s="1"/>
  <c r="K7" i="15"/>
  <c r="L7" i="15"/>
  <c r="P7" i="15" s="1"/>
  <c r="I21" i="15"/>
  <c r="AC21" i="15"/>
  <c r="J21" i="15"/>
  <c r="N21" i="15"/>
  <c r="K21" i="15"/>
  <c r="O21" i="15" s="1"/>
  <c r="L21" i="15"/>
  <c r="P21" i="15"/>
  <c r="AC4" i="15"/>
  <c r="AG4" i="15" s="1"/>
  <c r="AI4" i="15" s="1"/>
  <c r="AD4" i="15"/>
  <c r="AH4" i="15" s="1"/>
  <c r="AJ4" i="15" s="1"/>
  <c r="AE4" i="15"/>
  <c r="AF4" i="15"/>
  <c r="AC5" i="15"/>
  <c r="AG5" i="15" s="1"/>
  <c r="AI5" i="15" s="1"/>
  <c r="AD5" i="15"/>
  <c r="AH5" i="15"/>
  <c r="AJ5" i="15" s="1"/>
  <c r="AE5" i="15"/>
  <c r="AF5" i="15"/>
  <c r="AC6" i="15"/>
  <c r="AG6" i="15" s="1"/>
  <c r="AI6" i="15" s="1"/>
  <c r="AD6" i="15"/>
  <c r="AH6" i="15" s="1"/>
  <c r="AJ6" i="15" s="1"/>
  <c r="AC7" i="15"/>
  <c r="AD7" i="15"/>
  <c r="AE7" i="15"/>
  <c r="AF7" i="15"/>
  <c r="AC9" i="15"/>
  <c r="AG9" i="15" s="1"/>
  <c r="AI9" i="15" s="1"/>
  <c r="AD9" i="15"/>
  <c r="AH9" i="15" s="1"/>
  <c r="AJ9" i="15" s="1"/>
  <c r="AE9" i="15"/>
  <c r="AF9" i="15"/>
  <c r="AC10" i="15"/>
  <c r="AG10" i="15" s="1"/>
  <c r="AI10" i="15" s="1"/>
  <c r="AD10" i="15"/>
  <c r="AH10" i="15"/>
  <c r="AJ10" i="15" s="1"/>
  <c r="AE10" i="15"/>
  <c r="AF10" i="15"/>
  <c r="AC11" i="15"/>
  <c r="AG11" i="15" s="1"/>
  <c r="AI11" i="15" s="1"/>
  <c r="AD11" i="15"/>
  <c r="AH11" i="15" s="1"/>
  <c r="AJ11" i="15" s="1"/>
  <c r="AE11" i="15"/>
  <c r="AF11" i="15"/>
  <c r="AC12" i="15"/>
  <c r="AG12" i="15" s="1"/>
  <c r="AI12" i="15" s="1"/>
  <c r="AD12" i="15"/>
  <c r="AH12" i="15" s="1"/>
  <c r="AJ12" i="15" s="1"/>
  <c r="AE12" i="15"/>
  <c r="AF12" i="15"/>
  <c r="AC13" i="15"/>
  <c r="AG13" i="15" s="1"/>
  <c r="AI13" i="15" s="1"/>
  <c r="AD13" i="15"/>
  <c r="AH13" i="15"/>
  <c r="AJ13" i="15" s="1"/>
  <c r="AE13" i="15"/>
  <c r="AF13" i="15"/>
  <c r="AC14" i="15"/>
  <c r="AG14" i="15" s="1"/>
  <c r="AI14" i="15"/>
  <c r="AD14" i="15"/>
  <c r="AH14" i="15" s="1"/>
  <c r="AJ14" i="15" s="1"/>
  <c r="AE14" i="15"/>
  <c r="AF14" i="15"/>
  <c r="AC16" i="15"/>
  <c r="AG16" i="15" s="1"/>
  <c r="AI16" i="15" s="1"/>
  <c r="AD16" i="15"/>
  <c r="AH16" i="15" s="1"/>
  <c r="AJ16" i="15" s="1"/>
  <c r="AE16" i="15"/>
  <c r="AF16" i="15"/>
  <c r="AC17" i="15"/>
  <c r="AG17" i="15" s="1"/>
  <c r="AI17" i="15" s="1"/>
  <c r="AD17" i="15"/>
  <c r="AH17" i="15" s="1"/>
  <c r="AJ17" i="15" s="1"/>
  <c r="AE17" i="15"/>
  <c r="AF17" i="15"/>
  <c r="AC18" i="15"/>
  <c r="AD18" i="15"/>
  <c r="AH18" i="15"/>
  <c r="AJ18" i="15"/>
  <c r="AE18" i="15"/>
  <c r="AF18" i="15"/>
  <c r="AC19" i="15"/>
  <c r="AG19" i="15"/>
  <c r="AI19" i="15" s="1"/>
  <c r="AD19" i="15"/>
  <c r="AH19" i="15"/>
  <c r="AJ19" i="15"/>
  <c r="AE19" i="15"/>
  <c r="AF19" i="15"/>
  <c r="AD21" i="15"/>
  <c r="AE21" i="15"/>
  <c r="AF21" i="15"/>
  <c r="AC22" i="15"/>
  <c r="AG22" i="15"/>
  <c r="AI22" i="15"/>
  <c r="AD22" i="15"/>
  <c r="AH22" i="15" s="1"/>
  <c r="AJ22" i="15" s="1"/>
  <c r="AE22" i="15"/>
  <c r="AF22" i="15"/>
  <c r="AC23" i="15"/>
  <c r="AG23" i="15"/>
  <c r="AD23" i="15"/>
  <c r="AH23" i="15" s="1"/>
  <c r="AJ23" i="15" s="1"/>
  <c r="AE23" i="15"/>
  <c r="AF23" i="15"/>
  <c r="AC24" i="15"/>
  <c r="AD24" i="15"/>
  <c r="AH24" i="15"/>
  <c r="AJ24" i="15"/>
  <c r="AE24" i="15"/>
  <c r="AF24" i="15"/>
  <c r="AC25" i="15"/>
  <c r="AG25" i="15"/>
  <c r="AI25" i="15" s="1"/>
  <c r="AD25" i="15"/>
  <c r="AH25" i="15" s="1"/>
  <c r="AJ25" i="15" s="1"/>
  <c r="AE25" i="15"/>
  <c r="AF25" i="15"/>
  <c r="AC26" i="15"/>
  <c r="AG26" i="15"/>
  <c r="AI26" i="15" s="1"/>
  <c r="AD26" i="15"/>
  <c r="AH26" i="15"/>
  <c r="AJ26" i="15" s="1"/>
  <c r="AE26" i="15"/>
  <c r="AF26" i="15"/>
  <c r="AC27" i="15"/>
  <c r="AG27" i="15" s="1"/>
  <c r="AI27" i="15" s="1"/>
  <c r="AD27" i="15"/>
  <c r="AH27" i="15"/>
  <c r="AJ27" i="15"/>
  <c r="AE27" i="15"/>
  <c r="AF27" i="15"/>
  <c r="AC28" i="15"/>
  <c r="AG28" i="15"/>
  <c r="AI28" i="15" s="1"/>
  <c r="AD28" i="15"/>
  <c r="AH28" i="15"/>
  <c r="AJ28" i="15"/>
  <c r="AE28" i="15"/>
  <c r="AF28" i="15"/>
  <c r="AC31" i="15"/>
  <c r="AG31" i="15"/>
  <c r="AI31" i="15" s="1"/>
  <c r="AD31" i="15"/>
  <c r="AH31" i="15" s="1"/>
  <c r="AJ31" i="15" s="1"/>
  <c r="AE31" i="15"/>
  <c r="AF31" i="15"/>
  <c r="AC33" i="15"/>
  <c r="AG33" i="15"/>
  <c r="AI33" i="15" s="1"/>
  <c r="AD33" i="15"/>
  <c r="AH33" i="15"/>
  <c r="AJ33" i="15" s="1"/>
  <c r="AE33" i="15"/>
  <c r="AF33" i="15"/>
  <c r="AC34" i="15"/>
  <c r="AG34" i="15" s="1"/>
  <c r="AI34" i="15" s="1"/>
  <c r="AD34" i="15"/>
  <c r="AH34" i="15"/>
  <c r="AJ34" i="15"/>
  <c r="AE34" i="15"/>
  <c r="AF34" i="15"/>
  <c r="AC35" i="15"/>
  <c r="AG35" i="15"/>
  <c r="AI35" i="15" s="1"/>
  <c r="AD35" i="15"/>
  <c r="AH35" i="15"/>
  <c r="AJ35" i="15"/>
  <c r="AE35" i="15"/>
  <c r="AF35" i="15"/>
  <c r="AC36" i="15"/>
  <c r="AG36" i="15"/>
  <c r="AI36" i="15" s="1"/>
  <c r="AD36" i="15"/>
  <c r="AH36" i="15" s="1"/>
  <c r="AJ36" i="15" s="1"/>
  <c r="AE36" i="15"/>
  <c r="AF36" i="15"/>
  <c r="AC37" i="15"/>
  <c r="AD37" i="15"/>
  <c r="AH37" i="15" s="1"/>
  <c r="AJ37" i="15" s="1"/>
  <c r="AE37" i="15"/>
  <c r="AF37" i="15"/>
  <c r="AC38" i="15"/>
  <c r="AG38" i="15" s="1"/>
  <c r="AI38" i="15" s="1"/>
  <c r="AD38" i="15"/>
  <c r="AH38" i="15" s="1"/>
  <c r="AJ38" i="15" s="1"/>
  <c r="AE38" i="15"/>
  <c r="AF38" i="15"/>
  <c r="AC39" i="15"/>
  <c r="AG39" i="15" s="1"/>
  <c r="AI39" i="15" s="1"/>
  <c r="AD39" i="15"/>
  <c r="AH39" i="15" s="1"/>
  <c r="AJ39" i="15" s="1"/>
  <c r="AE39" i="15"/>
  <c r="AF39" i="15"/>
  <c r="AC41" i="15"/>
  <c r="AG41" i="15" s="1"/>
  <c r="AI41" i="15" s="1"/>
  <c r="AD41" i="15"/>
  <c r="AH41" i="15" s="1"/>
  <c r="AJ41" i="15" s="1"/>
  <c r="AE41" i="15"/>
  <c r="AF41" i="15"/>
  <c r="AC42" i="15"/>
  <c r="AG42" i="15" s="1"/>
  <c r="AI42" i="15" s="1"/>
  <c r="AD42" i="15"/>
  <c r="AH42" i="15" s="1"/>
  <c r="AJ42" i="15" s="1"/>
  <c r="AE42" i="15"/>
  <c r="AF42" i="15"/>
  <c r="AK4" i="15"/>
  <c r="AL4" i="15"/>
  <c r="AM4" i="15"/>
  <c r="AN4" i="15"/>
  <c r="AK5" i="15"/>
  <c r="AL5" i="15"/>
  <c r="AM5" i="15"/>
  <c r="AN5" i="15"/>
  <c r="AK6" i="15"/>
  <c r="AL6" i="15"/>
  <c r="AK7" i="15"/>
  <c r="AL7" i="15"/>
  <c r="AM7" i="15"/>
  <c r="AN7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4" i="15"/>
  <c r="AL14" i="15"/>
  <c r="AM14" i="15"/>
  <c r="AN14" i="15"/>
  <c r="AK16" i="15"/>
  <c r="AL16" i="15"/>
  <c r="AM16" i="15"/>
  <c r="AN16" i="15"/>
  <c r="AK17" i="15"/>
  <c r="AL17" i="15"/>
  <c r="AM17" i="15"/>
  <c r="AN17" i="15"/>
  <c r="AG18" i="15"/>
  <c r="AI18" i="15" s="1"/>
  <c r="AK18" i="15"/>
  <c r="AL18" i="15"/>
  <c r="AM18" i="15"/>
  <c r="AN18" i="15"/>
  <c r="AK19" i="15"/>
  <c r="AL19" i="15"/>
  <c r="AM19" i="15"/>
  <c r="AN19" i="15"/>
  <c r="AG20" i="15"/>
  <c r="AI20" i="15" s="1"/>
  <c r="AH20" i="15"/>
  <c r="AJ20" i="15" s="1"/>
  <c r="AK21" i="15"/>
  <c r="AL21" i="15"/>
  <c r="AM21" i="15"/>
  <c r="AN21" i="15"/>
  <c r="AK22" i="15"/>
  <c r="AL22" i="15"/>
  <c r="AM22" i="15"/>
  <c r="AN22" i="15"/>
  <c r="AI23" i="15"/>
  <c r="AK23" i="15"/>
  <c r="AL23" i="15"/>
  <c r="AM23" i="15"/>
  <c r="AN23" i="15"/>
  <c r="AG24" i="15"/>
  <c r="AI24" i="15" s="1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28" i="15"/>
  <c r="AL28" i="15"/>
  <c r="AM28" i="15"/>
  <c r="AN28" i="15"/>
  <c r="AK31" i="15"/>
  <c r="AL31" i="15"/>
  <c r="AM31" i="15"/>
  <c r="AN31" i="15"/>
  <c r="AG32" i="15"/>
  <c r="AI32" i="15"/>
  <c r="AH32" i="15"/>
  <c r="AJ32" i="15" s="1"/>
  <c r="AK32" i="15"/>
  <c r="AL32" i="15"/>
  <c r="AM32" i="15"/>
  <c r="AN32" i="15"/>
  <c r="AK33" i="15"/>
  <c r="AL33" i="15"/>
  <c r="AM33" i="15"/>
  <c r="AN33" i="15"/>
  <c r="AK34" i="15"/>
  <c r="AL34" i="15"/>
  <c r="AM34" i="15"/>
  <c r="AN34" i="15"/>
  <c r="AK35" i="15"/>
  <c r="AL35" i="15"/>
  <c r="AM35" i="15"/>
  <c r="AN35" i="15"/>
  <c r="AK36" i="15"/>
  <c r="AL36" i="15"/>
  <c r="AM36" i="15"/>
  <c r="AN36" i="15"/>
  <c r="AG37" i="15"/>
  <c r="AI37" i="15" s="1"/>
  <c r="AK37" i="15"/>
  <c r="AL37" i="15"/>
  <c r="AM37" i="15"/>
  <c r="AN37" i="15"/>
  <c r="AK38" i="15"/>
  <c r="AL38" i="15"/>
  <c r="AM38" i="15"/>
  <c r="AN38" i="15"/>
  <c r="AK39" i="15"/>
  <c r="AL39" i="15"/>
  <c r="AM39" i="15"/>
  <c r="AN39" i="15"/>
  <c r="AK41" i="15"/>
  <c r="AL41" i="15"/>
  <c r="AM41" i="15"/>
  <c r="AN41" i="15"/>
  <c r="AK42" i="15"/>
  <c r="AL42" i="15"/>
  <c r="AM42" i="15"/>
  <c r="AN42" i="15"/>
  <c r="P27" i="15"/>
  <c r="O27" i="15"/>
  <c r="N27" i="15"/>
  <c r="M27" i="15"/>
  <c r="P18" i="15"/>
  <c r="O18" i="15"/>
  <c r="N18" i="15"/>
  <c r="M18" i="15"/>
  <c r="M7" i="17"/>
  <c r="M21" i="17"/>
  <c r="O7" i="15"/>
  <c r="AP41" i="14"/>
  <c r="AJ41" i="11"/>
  <c r="AN41" i="14"/>
  <c r="AH41" i="11" s="1"/>
  <c r="AM41" i="14"/>
  <c r="AG41" i="10"/>
  <c r="AP39" i="14"/>
  <c r="AJ39" i="11" s="1"/>
  <c r="AN39" i="14"/>
  <c r="AH39" i="11"/>
  <c r="AM39" i="14"/>
  <c r="AP38" i="14"/>
  <c r="AJ38" i="11" s="1"/>
  <c r="AN38" i="14"/>
  <c r="AH38" i="11"/>
  <c r="AM38" i="14"/>
  <c r="AP36" i="14"/>
  <c r="AJ36" i="11" s="1"/>
  <c r="AN36" i="14"/>
  <c r="AH36" i="11"/>
  <c r="AM36" i="14"/>
  <c r="AG36" i="10" s="1"/>
  <c r="AP34" i="14"/>
  <c r="AJ34" i="11" s="1"/>
  <c r="AN34" i="14"/>
  <c r="AH34" i="11" s="1"/>
  <c r="AM34" i="14"/>
  <c r="AG34" i="10"/>
  <c r="AP33" i="14"/>
  <c r="AJ33" i="11" s="1"/>
  <c r="AN33" i="14"/>
  <c r="AH33" i="11"/>
  <c r="AM33" i="14"/>
  <c r="AG33" i="10" s="1"/>
  <c r="AP32" i="14"/>
  <c r="AJ32" i="11"/>
  <c r="AN32" i="14"/>
  <c r="AH32" i="11" s="1"/>
  <c r="AM32" i="14"/>
  <c r="AG32" i="10" s="1"/>
  <c r="AP31" i="14"/>
  <c r="AN31" i="14"/>
  <c r="AH31" i="11"/>
  <c r="AM31" i="14"/>
  <c r="AG31" i="10" s="1"/>
  <c r="AP28" i="14"/>
  <c r="AP28" i="16"/>
  <c r="AN28" i="14"/>
  <c r="AH28" i="11" s="1"/>
  <c r="AM28" i="14"/>
  <c r="AG28" i="10"/>
  <c r="AP27" i="14"/>
  <c r="AN27" i="14"/>
  <c r="AH27" i="11" s="1"/>
  <c r="AM27" i="14"/>
  <c r="AP26" i="14"/>
  <c r="AP26" i="16" s="1"/>
  <c r="AN26" i="14"/>
  <c r="AH26" i="11"/>
  <c r="AM26" i="14"/>
  <c r="AP25" i="14"/>
  <c r="AJ25" i="11" s="1"/>
  <c r="AN25" i="14"/>
  <c r="AH25" i="11"/>
  <c r="AM25" i="14"/>
  <c r="AG25" i="10" s="1"/>
  <c r="AP24" i="14"/>
  <c r="AJ24" i="11"/>
  <c r="AN24" i="14"/>
  <c r="AH24" i="11" s="1"/>
  <c r="AM24" i="14"/>
  <c r="AG24" i="10"/>
  <c r="AP23" i="14"/>
  <c r="AN23" i="14"/>
  <c r="AH23" i="11" s="1"/>
  <c r="AM23" i="14"/>
  <c r="AG23" i="10" s="1"/>
  <c r="AP22" i="14"/>
  <c r="AJ22" i="11" s="1"/>
  <c r="AN22" i="14"/>
  <c r="AH22" i="11" s="1"/>
  <c r="AM22" i="14"/>
  <c r="AG22" i="10"/>
  <c r="AP21" i="14"/>
  <c r="AJ21" i="11" s="1"/>
  <c r="AN21" i="14"/>
  <c r="AH21" i="11"/>
  <c r="AM21" i="14"/>
  <c r="AG21" i="10" s="1"/>
  <c r="AP20" i="14"/>
  <c r="AJ20" i="11" s="1"/>
  <c r="AN20" i="14"/>
  <c r="AM20" i="14"/>
  <c r="AP19" i="14"/>
  <c r="AJ19" i="11" s="1"/>
  <c r="AN19" i="14"/>
  <c r="AM19" i="14"/>
  <c r="AG19" i="10"/>
  <c r="AP18" i="14"/>
  <c r="AJ18" i="11" s="1"/>
  <c r="AN18" i="14"/>
  <c r="AH18" i="11"/>
  <c r="AM18" i="14"/>
  <c r="AG18" i="10" s="1"/>
  <c r="AP17" i="14"/>
  <c r="AP17" i="16" s="1"/>
  <c r="AN17" i="14"/>
  <c r="AH17" i="11"/>
  <c r="AM17" i="14"/>
  <c r="AG17" i="10" s="1"/>
  <c r="AP16" i="14"/>
  <c r="AJ16" i="11" s="1"/>
  <c r="AN16" i="14"/>
  <c r="AH16" i="11" s="1"/>
  <c r="AM16" i="14"/>
  <c r="AG16" i="10"/>
  <c r="AP14" i="14"/>
  <c r="AN14" i="14"/>
  <c r="AH14" i="11"/>
  <c r="AM14" i="14"/>
  <c r="AP13" i="14"/>
  <c r="AJ13" i="11" s="1"/>
  <c r="AN13" i="14"/>
  <c r="AH13" i="11"/>
  <c r="AM13" i="14"/>
  <c r="AG13" i="10" s="1"/>
  <c r="AP11" i="14"/>
  <c r="AJ11" i="11"/>
  <c r="AN11" i="14"/>
  <c r="AH11" i="11" s="1"/>
  <c r="AM11" i="14"/>
  <c r="AP9" i="14"/>
  <c r="AJ9" i="11" s="1"/>
  <c r="AN9" i="14"/>
  <c r="AH9" i="11"/>
  <c r="AM9" i="14"/>
  <c r="AP7" i="14"/>
  <c r="AJ7" i="11" s="1"/>
  <c r="AN7" i="14"/>
  <c r="AH7" i="11"/>
  <c r="AM7" i="14"/>
  <c r="AG7" i="10" s="1"/>
  <c r="AN6" i="14"/>
  <c r="AH6" i="11"/>
  <c r="AM6" i="14"/>
  <c r="AG6" i="10" s="1"/>
  <c r="AP5" i="14"/>
  <c r="AJ5" i="11" s="1"/>
  <c r="AN5" i="14"/>
  <c r="AM5" i="14"/>
  <c r="AG5" i="10"/>
  <c r="AP4" i="14"/>
  <c r="AJ4" i="11" s="1"/>
  <c r="AN42" i="13"/>
  <c r="AM42" i="13"/>
  <c r="AL42" i="13"/>
  <c r="AK42" i="13"/>
  <c r="AF42" i="13"/>
  <c r="AE42" i="13"/>
  <c r="AD42" i="13"/>
  <c r="AH42" i="13" s="1"/>
  <c r="AJ42" i="13" s="1"/>
  <c r="AC42" i="13"/>
  <c r="AG42" i="13" s="1"/>
  <c r="AI42" i="13" s="1"/>
  <c r="AN41" i="13"/>
  <c r="AM41" i="13"/>
  <c r="AL41" i="13"/>
  <c r="AK41" i="13"/>
  <c r="AF41" i="13"/>
  <c r="AE41" i="13"/>
  <c r="AD41" i="13"/>
  <c r="AH41" i="13" s="1"/>
  <c r="AJ41" i="13" s="1"/>
  <c r="AC41" i="13"/>
  <c r="AG41" i="13" s="1"/>
  <c r="AI41" i="13" s="1"/>
  <c r="AN39" i="13"/>
  <c r="AM39" i="13"/>
  <c r="AL39" i="13"/>
  <c r="AK39" i="13"/>
  <c r="AF39" i="13"/>
  <c r="AE39" i="13"/>
  <c r="AD39" i="13"/>
  <c r="AH39" i="13" s="1"/>
  <c r="AJ39" i="13" s="1"/>
  <c r="AC39" i="13"/>
  <c r="AG39" i="13" s="1"/>
  <c r="AI39" i="13" s="1"/>
  <c r="AN38" i="13"/>
  <c r="AM38" i="13"/>
  <c r="AL38" i="13"/>
  <c r="AK38" i="13"/>
  <c r="AF38" i="13"/>
  <c r="AE38" i="13"/>
  <c r="AD38" i="13"/>
  <c r="AH38" i="13" s="1"/>
  <c r="AJ38" i="13" s="1"/>
  <c r="AC38" i="13"/>
  <c r="AG38" i="13" s="1"/>
  <c r="AI38" i="13" s="1"/>
  <c r="AN37" i="13"/>
  <c r="AM37" i="13"/>
  <c r="AL37" i="13"/>
  <c r="AK37" i="13"/>
  <c r="AF37" i="13"/>
  <c r="AE37" i="13"/>
  <c r="AD37" i="13"/>
  <c r="AH37" i="13" s="1"/>
  <c r="AJ37" i="13" s="1"/>
  <c r="AC37" i="13"/>
  <c r="AG37" i="13" s="1"/>
  <c r="AI37" i="13" s="1"/>
  <c r="AN36" i="13"/>
  <c r="AM36" i="13"/>
  <c r="AL36" i="13"/>
  <c r="AK36" i="13"/>
  <c r="AF36" i="13"/>
  <c r="AE36" i="13"/>
  <c r="AD36" i="13"/>
  <c r="AH36" i="13" s="1"/>
  <c r="AJ36" i="13" s="1"/>
  <c r="AC36" i="13"/>
  <c r="AG36" i="13" s="1"/>
  <c r="AI36" i="13" s="1"/>
  <c r="AN35" i="13"/>
  <c r="AM35" i="13"/>
  <c r="AL35" i="13"/>
  <c r="AK35" i="13"/>
  <c r="AF35" i="13"/>
  <c r="AE35" i="13"/>
  <c r="AD35" i="13"/>
  <c r="AH35" i="13" s="1"/>
  <c r="AJ35" i="13" s="1"/>
  <c r="AC35" i="13"/>
  <c r="AG35" i="13" s="1"/>
  <c r="AI35" i="13" s="1"/>
  <c r="AN34" i="13"/>
  <c r="AM34" i="13"/>
  <c r="AL34" i="13"/>
  <c r="AK34" i="13"/>
  <c r="AF34" i="13"/>
  <c r="AE34" i="13"/>
  <c r="AD34" i="13"/>
  <c r="AH34" i="13" s="1"/>
  <c r="AJ34" i="13" s="1"/>
  <c r="AC34" i="13"/>
  <c r="AG34" i="13" s="1"/>
  <c r="AI34" i="13" s="1"/>
  <c r="AN33" i="13"/>
  <c r="AM33" i="13"/>
  <c r="AL33" i="13"/>
  <c r="AK33" i="13"/>
  <c r="AF33" i="13"/>
  <c r="AE33" i="13"/>
  <c r="AD33" i="13"/>
  <c r="AH33" i="13" s="1"/>
  <c r="AJ33" i="13" s="1"/>
  <c r="AC33" i="13"/>
  <c r="AG33" i="13" s="1"/>
  <c r="AI33" i="13" s="1"/>
  <c r="AN32" i="13"/>
  <c r="AM32" i="13"/>
  <c r="AL32" i="13"/>
  <c r="AK32" i="13"/>
  <c r="AH32" i="13"/>
  <c r="AJ32" i="13"/>
  <c r="AG32" i="13"/>
  <c r="AI32" i="13" s="1"/>
  <c r="AN31" i="13"/>
  <c r="AM31" i="13"/>
  <c r="AL31" i="13"/>
  <c r="AK31" i="13"/>
  <c r="AF31" i="13"/>
  <c r="AE31" i="13"/>
  <c r="AD31" i="13"/>
  <c r="AH31" i="13" s="1"/>
  <c r="AJ31" i="13" s="1"/>
  <c r="AC31" i="13"/>
  <c r="AG31" i="13" s="1"/>
  <c r="AI31" i="13" s="1"/>
  <c r="AN28" i="13"/>
  <c r="AM28" i="13"/>
  <c r="AL28" i="13"/>
  <c r="AK28" i="13"/>
  <c r="AF28" i="13"/>
  <c r="AE28" i="13"/>
  <c r="AD28" i="13"/>
  <c r="AH28" i="13" s="1"/>
  <c r="AJ28" i="13" s="1"/>
  <c r="AC28" i="13"/>
  <c r="AG28" i="13" s="1"/>
  <c r="AI28" i="13" s="1"/>
  <c r="AN27" i="13"/>
  <c r="AM27" i="13"/>
  <c r="AL27" i="13"/>
  <c r="AK27" i="13"/>
  <c r="AF27" i="13"/>
  <c r="AE27" i="13"/>
  <c r="AD27" i="13"/>
  <c r="AH27" i="13" s="1"/>
  <c r="AJ27" i="13" s="1"/>
  <c r="AC27" i="13"/>
  <c r="AG27" i="13" s="1"/>
  <c r="AI27" i="13" s="1"/>
  <c r="P27" i="13"/>
  <c r="O27" i="13"/>
  <c r="N27" i="13"/>
  <c r="M27" i="13"/>
  <c r="AN26" i="13"/>
  <c r="AM26" i="13"/>
  <c r="AL26" i="13"/>
  <c r="AK26" i="13"/>
  <c r="AF26" i="13"/>
  <c r="AE26" i="13"/>
  <c r="AD26" i="13"/>
  <c r="AH26" i="13" s="1"/>
  <c r="AJ26" i="13" s="1"/>
  <c r="AC26" i="13"/>
  <c r="AG26" i="13" s="1"/>
  <c r="AI26" i="13" s="1"/>
  <c r="AN25" i="13"/>
  <c r="AM25" i="13"/>
  <c r="AL25" i="13"/>
  <c r="AK25" i="13"/>
  <c r="AF25" i="13"/>
  <c r="AE25" i="13"/>
  <c r="AD25" i="13"/>
  <c r="AH25" i="13" s="1"/>
  <c r="AJ25" i="13" s="1"/>
  <c r="AC25" i="13"/>
  <c r="AG25" i="13" s="1"/>
  <c r="AI25" i="13" s="1"/>
  <c r="AN24" i="13"/>
  <c r="AM24" i="13"/>
  <c r="AL24" i="13"/>
  <c r="AK24" i="13"/>
  <c r="AF24" i="13"/>
  <c r="AE24" i="13"/>
  <c r="AD24" i="13"/>
  <c r="AH24" i="13" s="1"/>
  <c r="AJ24" i="13" s="1"/>
  <c r="AC24" i="13"/>
  <c r="AG24" i="13" s="1"/>
  <c r="AI24" i="13" s="1"/>
  <c r="AN23" i="13"/>
  <c r="AM23" i="13"/>
  <c r="AL23" i="13"/>
  <c r="AK23" i="13"/>
  <c r="AF23" i="13"/>
  <c r="AE23" i="13"/>
  <c r="AD23" i="13"/>
  <c r="AH23" i="13" s="1"/>
  <c r="AJ23" i="13" s="1"/>
  <c r="AC23" i="13"/>
  <c r="AG23" i="13" s="1"/>
  <c r="AI23" i="13" s="1"/>
  <c r="AN22" i="13"/>
  <c r="AM22" i="13"/>
  <c r="AL22" i="13"/>
  <c r="AK22" i="13"/>
  <c r="AF22" i="13"/>
  <c r="AE22" i="13"/>
  <c r="AD22" i="13"/>
  <c r="AH22" i="13" s="1"/>
  <c r="AJ22" i="13" s="1"/>
  <c r="AC22" i="13"/>
  <c r="AG22" i="13" s="1"/>
  <c r="AI22" i="13" s="1"/>
  <c r="AN21" i="13"/>
  <c r="AM21" i="13"/>
  <c r="AL21" i="13"/>
  <c r="AK21" i="13"/>
  <c r="AF21" i="13"/>
  <c r="AE21" i="13"/>
  <c r="AD21" i="13"/>
  <c r="AC21" i="13"/>
  <c r="L21" i="13"/>
  <c r="P21" i="13"/>
  <c r="K21" i="13"/>
  <c r="O21" i="13" s="1"/>
  <c r="J21" i="13"/>
  <c r="N21" i="13" s="1"/>
  <c r="I21" i="13"/>
  <c r="AH20" i="13"/>
  <c r="AJ20" i="13" s="1"/>
  <c r="AG20" i="13"/>
  <c r="AI20" i="13" s="1"/>
  <c r="AN19" i="13"/>
  <c r="AM19" i="13"/>
  <c r="AL19" i="13"/>
  <c r="AK19" i="13"/>
  <c r="AF19" i="13"/>
  <c r="AE19" i="13"/>
  <c r="AD19" i="13"/>
  <c r="AH19" i="13" s="1"/>
  <c r="AJ19" i="13" s="1"/>
  <c r="AC19" i="13"/>
  <c r="AG19" i="13"/>
  <c r="AI19" i="13" s="1"/>
  <c r="AN18" i="13"/>
  <c r="AM18" i="13"/>
  <c r="AL18" i="13"/>
  <c r="AK18" i="13"/>
  <c r="AF18" i="13"/>
  <c r="AE18" i="13"/>
  <c r="AD18" i="13"/>
  <c r="AH18" i="13" s="1"/>
  <c r="AJ18" i="13" s="1"/>
  <c r="AC18" i="13"/>
  <c r="AG18" i="13"/>
  <c r="AI18" i="13" s="1"/>
  <c r="P18" i="13"/>
  <c r="O18" i="13"/>
  <c r="N18" i="13"/>
  <c r="M18" i="13"/>
  <c r="AN17" i="13"/>
  <c r="AM17" i="13"/>
  <c r="AL17" i="13"/>
  <c r="AK17" i="13"/>
  <c r="AF17" i="13"/>
  <c r="AE17" i="13"/>
  <c r="AD17" i="13"/>
  <c r="AH17" i="13" s="1"/>
  <c r="AJ17" i="13" s="1"/>
  <c r="AC17" i="13"/>
  <c r="AG17" i="13" s="1"/>
  <c r="AI17" i="13" s="1"/>
  <c r="AN16" i="13"/>
  <c r="AM16" i="13"/>
  <c r="AL16" i="13"/>
  <c r="AK16" i="13"/>
  <c r="AF16" i="13"/>
  <c r="AE16" i="13"/>
  <c r="AD16" i="13"/>
  <c r="AH16" i="13" s="1"/>
  <c r="AJ16" i="13" s="1"/>
  <c r="AC16" i="13"/>
  <c r="AG16" i="13"/>
  <c r="AI16" i="13"/>
  <c r="AN14" i="13"/>
  <c r="AM14" i="13"/>
  <c r="AL14" i="13"/>
  <c r="AK14" i="13"/>
  <c r="AF14" i="13"/>
  <c r="AE14" i="13"/>
  <c r="AD14" i="13"/>
  <c r="AH14" i="13"/>
  <c r="AJ14" i="13" s="1"/>
  <c r="AC14" i="13"/>
  <c r="AG14" i="13"/>
  <c r="AI14" i="13" s="1"/>
  <c r="AN13" i="13"/>
  <c r="AM13" i="13"/>
  <c r="AL13" i="13"/>
  <c r="AK13" i="13"/>
  <c r="AF13" i="13"/>
  <c r="AE13" i="13"/>
  <c r="AD13" i="13"/>
  <c r="AH13" i="13" s="1"/>
  <c r="AJ13" i="13" s="1"/>
  <c r="AC13" i="13"/>
  <c r="AG13" i="13"/>
  <c r="AI13" i="13" s="1"/>
  <c r="AN12" i="13"/>
  <c r="AM12" i="13"/>
  <c r="AL12" i="13"/>
  <c r="AK12" i="13"/>
  <c r="AF12" i="13"/>
  <c r="AE12" i="13"/>
  <c r="AD12" i="13"/>
  <c r="AH12" i="13" s="1"/>
  <c r="AJ12" i="13" s="1"/>
  <c r="AC12" i="13"/>
  <c r="AG12" i="13"/>
  <c r="AI12" i="13" s="1"/>
  <c r="AN11" i="13"/>
  <c r="AM11" i="13"/>
  <c r="AL11" i="13"/>
  <c r="AK11" i="13"/>
  <c r="AF11" i="13"/>
  <c r="AE11" i="13"/>
  <c r="AD11" i="13"/>
  <c r="AH11" i="13" s="1"/>
  <c r="AJ11" i="13" s="1"/>
  <c r="AC11" i="13"/>
  <c r="AG11" i="13"/>
  <c r="AI11" i="13" s="1"/>
  <c r="AN10" i="13"/>
  <c r="AM10" i="13"/>
  <c r="AL10" i="13"/>
  <c r="AK10" i="13"/>
  <c r="AF10" i="13"/>
  <c r="AE10" i="13"/>
  <c r="AD10" i="13"/>
  <c r="AH10" i="13" s="1"/>
  <c r="AJ10" i="13" s="1"/>
  <c r="AC10" i="13"/>
  <c r="AG10" i="13"/>
  <c r="AI10" i="13" s="1"/>
  <c r="AN9" i="13"/>
  <c r="AM9" i="13"/>
  <c r="AL9" i="13"/>
  <c r="AK9" i="13"/>
  <c r="AF9" i="13"/>
  <c r="AE9" i="13"/>
  <c r="AD9" i="13"/>
  <c r="AH9" i="13" s="1"/>
  <c r="AJ9" i="13" s="1"/>
  <c r="AC9" i="13"/>
  <c r="AG9" i="13"/>
  <c r="AI9" i="13" s="1"/>
  <c r="AN7" i="13"/>
  <c r="AM7" i="13"/>
  <c r="AL7" i="13"/>
  <c r="AK7" i="13"/>
  <c r="AF7" i="13"/>
  <c r="AE7" i="13"/>
  <c r="AD7" i="13"/>
  <c r="AC7" i="13"/>
  <c r="L7" i="13"/>
  <c r="P7" i="13" s="1"/>
  <c r="K7" i="13"/>
  <c r="AH7" i="13" s="1"/>
  <c r="AJ7" i="13" s="1"/>
  <c r="J7" i="13"/>
  <c r="N7" i="13" s="1"/>
  <c r="I7" i="13"/>
  <c r="AG7" i="13" s="1"/>
  <c r="AI7" i="13" s="1"/>
  <c r="AL6" i="13"/>
  <c r="AK6" i="13"/>
  <c r="AD6" i="13"/>
  <c r="AH6" i="13"/>
  <c r="AJ6" i="13" s="1"/>
  <c r="AC6" i="13"/>
  <c r="AG6" i="13" s="1"/>
  <c r="AI6" i="13" s="1"/>
  <c r="AN5" i="13"/>
  <c r="AM5" i="13"/>
  <c r="AL5" i="13"/>
  <c r="AK5" i="13"/>
  <c r="AF5" i="13"/>
  <c r="AE5" i="13"/>
  <c r="AD5" i="13"/>
  <c r="AH5" i="13"/>
  <c r="AJ5" i="13"/>
  <c r="AC5" i="13"/>
  <c r="AG5" i="13" s="1"/>
  <c r="AI5" i="13" s="1"/>
  <c r="AN4" i="13"/>
  <c r="AM4" i="13"/>
  <c r="AL4" i="13"/>
  <c r="AK4" i="13"/>
  <c r="AF4" i="13"/>
  <c r="AE4" i="13"/>
  <c r="AD4" i="13"/>
  <c r="AH4" i="13"/>
  <c r="AJ4" i="13" s="1"/>
  <c r="AC4" i="13"/>
  <c r="AG4" i="13" s="1"/>
  <c r="AI4" i="13" s="1"/>
  <c r="AC4" i="12"/>
  <c r="AG4" i="12" s="1"/>
  <c r="AD4" i="12"/>
  <c r="AH4" i="12" s="1"/>
  <c r="AD41" i="12"/>
  <c r="AH41" i="12" s="1"/>
  <c r="AD39" i="12"/>
  <c r="AH39" i="12" s="1"/>
  <c r="AD37" i="12"/>
  <c r="AH37" i="12" s="1"/>
  <c r="AD36" i="12"/>
  <c r="AH36" i="12"/>
  <c r="AD34" i="12"/>
  <c r="AH34" i="12" s="1"/>
  <c r="AD33" i="12"/>
  <c r="AH33" i="12"/>
  <c r="AH32" i="12"/>
  <c r="AD28" i="12"/>
  <c r="AH28" i="12" s="1"/>
  <c r="AD26" i="12"/>
  <c r="AH26" i="12"/>
  <c r="AD24" i="12"/>
  <c r="AH24" i="12" s="1"/>
  <c r="AD23" i="12"/>
  <c r="AH23" i="12" s="1"/>
  <c r="AH20" i="12"/>
  <c r="AD18" i="12"/>
  <c r="AH18" i="12"/>
  <c r="AD16" i="12"/>
  <c r="AH16" i="12"/>
  <c r="AD13" i="12"/>
  <c r="AH13" i="12"/>
  <c r="AD11" i="12"/>
  <c r="AH11" i="12"/>
  <c r="AD9" i="12"/>
  <c r="AH9" i="12"/>
  <c r="AD6" i="12"/>
  <c r="AH6" i="12"/>
  <c r="AC38" i="12"/>
  <c r="AG38" i="12"/>
  <c r="AC35" i="12"/>
  <c r="AG35" i="12"/>
  <c r="AG32" i="12"/>
  <c r="AC31" i="12"/>
  <c r="AG31" i="12" s="1"/>
  <c r="AC25" i="12"/>
  <c r="AG25" i="12" s="1"/>
  <c r="AC22" i="12"/>
  <c r="AG22" i="12"/>
  <c r="AG20" i="12"/>
  <c r="AC19" i="12"/>
  <c r="AG19" i="12"/>
  <c r="AC14" i="12"/>
  <c r="AG14" i="12" s="1"/>
  <c r="AC10" i="12"/>
  <c r="AG10" i="12"/>
  <c r="AC5" i="12"/>
  <c r="AG5" i="12" s="1"/>
  <c r="AN41" i="12"/>
  <c r="AM41" i="12"/>
  <c r="AL41" i="12"/>
  <c r="AK41" i="12"/>
  <c r="AF41" i="12"/>
  <c r="AE41" i="12"/>
  <c r="AC41" i="12"/>
  <c r="AG41" i="12" s="1"/>
  <c r="AN39" i="12"/>
  <c r="AM39" i="12"/>
  <c r="AL39" i="12"/>
  <c r="AK39" i="12"/>
  <c r="AF39" i="12"/>
  <c r="AE39" i="12"/>
  <c r="AC39" i="12"/>
  <c r="AG39" i="12" s="1"/>
  <c r="AN38" i="12"/>
  <c r="AM38" i="12"/>
  <c r="AL38" i="12"/>
  <c r="AK38" i="12"/>
  <c r="AF38" i="12"/>
  <c r="AE38" i="12"/>
  <c r="AD38" i="12"/>
  <c r="AH38" i="12" s="1"/>
  <c r="AN37" i="12"/>
  <c r="AM37" i="12"/>
  <c r="AL37" i="12"/>
  <c r="AK37" i="12"/>
  <c r="AF37" i="12"/>
  <c r="AE37" i="12"/>
  <c r="AC37" i="12"/>
  <c r="AG37" i="12" s="1"/>
  <c r="AN36" i="12"/>
  <c r="AM36" i="12"/>
  <c r="AL36" i="12"/>
  <c r="AK36" i="12"/>
  <c r="AF36" i="12"/>
  <c r="AE36" i="12"/>
  <c r="AC36" i="12"/>
  <c r="AG36" i="12" s="1"/>
  <c r="AN35" i="12"/>
  <c r="AM35" i="12"/>
  <c r="AL35" i="12"/>
  <c r="AK35" i="12"/>
  <c r="AF35" i="12"/>
  <c r="AE35" i="12"/>
  <c r="AD35" i="12"/>
  <c r="AH35" i="12" s="1"/>
  <c r="AN34" i="12"/>
  <c r="AM34" i="12"/>
  <c r="AL34" i="12"/>
  <c r="AK34" i="12"/>
  <c r="AF34" i="12"/>
  <c r="AE34" i="12"/>
  <c r="AC34" i="12"/>
  <c r="AG34" i="12" s="1"/>
  <c r="AN33" i="12"/>
  <c r="AM33" i="12"/>
  <c r="AL33" i="12"/>
  <c r="AK33" i="12"/>
  <c r="AF33" i="12"/>
  <c r="AE33" i="12"/>
  <c r="AC33" i="12"/>
  <c r="AG33" i="12" s="1"/>
  <c r="AN32" i="12"/>
  <c r="AM32" i="12"/>
  <c r="AL32" i="12"/>
  <c r="AK32" i="12"/>
  <c r="AN31" i="12"/>
  <c r="AM31" i="12"/>
  <c r="AL31" i="12"/>
  <c r="AK31" i="12"/>
  <c r="AF31" i="12"/>
  <c r="AE31" i="12"/>
  <c r="AD31" i="12"/>
  <c r="AH31" i="12" s="1"/>
  <c r="AN28" i="12"/>
  <c r="AM28" i="12"/>
  <c r="AL28" i="12"/>
  <c r="AK28" i="12"/>
  <c r="AF28" i="12"/>
  <c r="AE28" i="12"/>
  <c r="AC28" i="12"/>
  <c r="AG28" i="12" s="1"/>
  <c r="AN27" i="12"/>
  <c r="AM27" i="12"/>
  <c r="AL27" i="12"/>
  <c r="AK27" i="12"/>
  <c r="AF27" i="12"/>
  <c r="AE27" i="12"/>
  <c r="AD27" i="12"/>
  <c r="AH27" i="12" s="1"/>
  <c r="AC27" i="12"/>
  <c r="AG27" i="12" s="1"/>
  <c r="P27" i="12"/>
  <c r="O27" i="12"/>
  <c r="N27" i="12"/>
  <c r="M27" i="12"/>
  <c r="AN26" i="12"/>
  <c r="AM26" i="12"/>
  <c r="AL26" i="12"/>
  <c r="AK26" i="12"/>
  <c r="AF26" i="12"/>
  <c r="AE26" i="12"/>
  <c r="AC26" i="12"/>
  <c r="AG26" i="12" s="1"/>
  <c r="AN25" i="12"/>
  <c r="AM25" i="12"/>
  <c r="AL25" i="12"/>
  <c r="AK25" i="12"/>
  <c r="AF25" i="12"/>
  <c r="AE25" i="12"/>
  <c r="AD25" i="12"/>
  <c r="AH25" i="12" s="1"/>
  <c r="AN24" i="12"/>
  <c r="AM24" i="12"/>
  <c r="AL24" i="12"/>
  <c r="AK24" i="12"/>
  <c r="AF24" i="12"/>
  <c r="AE24" i="12"/>
  <c r="AC24" i="12"/>
  <c r="AG24" i="12" s="1"/>
  <c r="AN23" i="12"/>
  <c r="AM23" i="12"/>
  <c r="AL23" i="12"/>
  <c r="AK23" i="12"/>
  <c r="AF23" i="12"/>
  <c r="AE23" i="12"/>
  <c r="AC23" i="12"/>
  <c r="AG23" i="12" s="1"/>
  <c r="AN22" i="12"/>
  <c r="AM22" i="12"/>
  <c r="AL22" i="12"/>
  <c r="AK22" i="12"/>
  <c r="AF22" i="12"/>
  <c r="AE22" i="12"/>
  <c r="AD22" i="12"/>
  <c r="AH22" i="12" s="1"/>
  <c r="AN21" i="12"/>
  <c r="AM21" i="12"/>
  <c r="AL21" i="12"/>
  <c r="AK21" i="12"/>
  <c r="AF21" i="12"/>
  <c r="AE21" i="12"/>
  <c r="AD21" i="12"/>
  <c r="AC21" i="12"/>
  <c r="L21" i="12"/>
  <c r="P21" i="12" s="1"/>
  <c r="K21" i="12"/>
  <c r="O21" i="12" s="1"/>
  <c r="J21" i="12"/>
  <c r="N21" i="12" s="1"/>
  <c r="I21" i="12"/>
  <c r="M21" i="12" s="1"/>
  <c r="AN19" i="12"/>
  <c r="AM19" i="12"/>
  <c r="AL19" i="12"/>
  <c r="AK19" i="12"/>
  <c r="AF19" i="12"/>
  <c r="AE19" i="12"/>
  <c r="AD19" i="12"/>
  <c r="AH19" i="12" s="1"/>
  <c r="AN18" i="12"/>
  <c r="AM18" i="12"/>
  <c r="AL18" i="12"/>
  <c r="AK18" i="12"/>
  <c r="AF18" i="12"/>
  <c r="AE18" i="12"/>
  <c r="AC18" i="12"/>
  <c r="AG18" i="12" s="1"/>
  <c r="P18" i="12"/>
  <c r="O18" i="12"/>
  <c r="N18" i="12"/>
  <c r="M18" i="12"/>
  <c r="AN17" i="12"/>
  <c r="AM17" i="12"/>
  <c r="AL17" i="12"/>
  <c r="AK17" i="12"/>
  <c r="AF17" i="12"/>
  <c r="AE17" i="12"/>
  <c r="AD17" i="12"/>
  <c r="AH17" i="12" s="1"/>
  <c r="AC17" i="12"/>
  <c r="AG17" i="12" s="1"/>
  <c r="AN16" i="12"/>
  <c r="AM16" i="12"/>
  <c r="AL16" i="12"/>
  <c r="AK16" i="12"/>
  <c r="AF16" i="12"/>
  <c r="AE16" i="12"/>
  <c r="AC16" i="12"/>
  <c r="AG16" i="12" s="1"/>
  <c r="AN14" i="12"/>
  <c r="AM14" i="12"/>
  <c r="AL14" i="12"/>
  <c r="AK14" i="12"/>
  <c r="AF14" i="12"/>
  <c r="AE14" i="12"/>
  <c r="AD14" i="12"/>
  <c r="AH14" i="12" s="1"/>
  <c r="AN13" i="12"/>
  <c r="AM13" i="12"/>
  <c r="AL13" i="12"/>
  <c r="AK13" i="12"/>
  <c r="AF13" i="12"/>
  <c r="AE13" i="12"/>
  <c r="AC13" i="12"/>
  <c r="AG13" i="12" s="1"/>
  <c r="AN12" i="12"/>
  <c r="AM12" i="12"/>
  <c r="AL12" i="12"/>
  <c r="AK12" i="12"/>
  <c r="AF12" i="12"/>
  <c r="AE12" i="12"/>
  <c r="AD12" i="12"/>
  <c r="AH12" i="12" s="1"/>
  <c r="AC12" i="12"/>
  <c r="AG12" i="12" s="1"/>
  <c r="AN11" i="12"/>
  <c r="AM11" i="12"/>
  <c r="AL11" i="12"/>
  <c r="AK11" i="12"/>
  <c r="AF11" i="12"/>
  <c r="AE11" i="12"/>
  <c r="AC11" i="12"/>
  <c r="AG11" i="12" s="1"/>
  <c r="AN10" i="12"/>
  <c r="AM10" i="12"/>
  <c r="AL10" i="12"/>
  <c r="AK10" i="12"/>
  <c r="AF10" i="12"/>
  <c r="AE10" i="12"/>
  <c r="AD10" i="12"/>
  <c r="AH10" i="12" s="1"/>
  <c r="AN9" i="12"/>
  <c r="AM9" i="12"/>
  <c r="AL9" i="12"/>
  <c r="AK9" i="12"/>
  <c r="AF9" i="12"/>
  <c r="AE9" i="12"/>
  <c r="AC9" i="12"/>
  <c r="AG9" i="12" s="1"/>
  <c r="AN7" i="12"/>
  <c r="AM7" i="12"/>
  <c r="AL7" i="12"/>
  <c r="AK7" i="12"/>
  <c r="AF7" i="12"/>
  <c r="AE7" i="12"/>
  <c r="AD7" i="12"/>
  <c r="AC7" i="12"/>
  <c r="L7" i="12"/>
  <c r="P7" i="12" s="1"/>
  <c r="K7" i="12"/>
  <c r="O7" i="12" s="1"/>
  <c r="J7" i="12"/>
  <c r="N7" i="12"/>
  <c r="I7" i="12"/>
  <c r="M7" i="12" s="1"/>
  <c r="AL6" i="12"/>
  <c r="AK6" i="12"/>
  <c r="AC6" i="12"/>
  <c r="AG6" i="12" s="1"/>
  <c r="AN5" i="12"/>
  <c r="AM5" i="12"/>
  <c r="AL5" i="12"/>
  <c r="AK5" i="12"/>
  <c r="AF5" i="12"/>
  <c r="AE5" i="12"/>
  <c r="AD5" i="12"/>
  <c r="AH5" i="12" s="1"/>
  <c r="AN4" i="12"/>
  <c r="AM4" i="12"/>
  <c r="AL4" i="12"/>
  <c r="AK4" i="12"/>
  <c r="AF4" i="12"/>
  <c r="AE4" i="12"/>
  <c r="AG42" i="11"/>
  <c r="AF42" i="11"/>
  <c r="AE42" i="11"/>
  <c r="AD42" i="11"/>
  <c r="AC42" i="11"/>
  <c r="AG41" i="11"/>
  <c r="AF41" i="11"/>
  <c r="AE41" i="11"/>
  <c r="AD41" i="11"/>
  <c r="AC41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F35" i="11"/>
  <c r="AE35" i="11"/>
  <c r="AD35" i="11"/>
  <c r="AC35" i="11"/>
  <c r="AG34" i="11"/>
  <c r="AF34" i="11"/>
  <c r="AE34" i="11"/>
  <c r="AD34" i="11"/>
  <c r="AC34" i="11"/>
  <c r="AG33" i="11"/>
  <c r="AF33" i="11"/>
  <c r="AE33" i="11"/>
  <c r="AD33" i="11"/>
  <c r="AC33" i="11"/>
  <c r="AG32" i="11"/>
  <c r="AG31" i="11"/>
  <c r="AF31" i="11"/>
  <c r="AE31" i="11"/>
  <c r="AD31" i="11"/>
  <c r="AC31" i="11"/>
  <c r="AG28" i="11"/>
  <c r="AF28" i="11"/>
  <c r="AE28" i="11"/>
  <c r="AD28" i="11"/>
  <c r="AC28" i="11"/>
  <c r="AG27" i="11"/>
  <c r="AF27" i="11"/>
  <c r="AE27" i="11"/>
  <c r="AD27" i="11"/>
  <c r="AC27" i="11"/>
  <c r="P27" i="11"/>
  <c r="O27" i="11"/>
  <c r="N27" i="11"/>
  <c r="M27" i="11"/>
  <c r="AG26" i="11"/>
  <c r="AF26" i="11"/>
  <c r="AE26" i="11"/>
  <c r="AD26" i="11"/>
  <c r="AC26" i="11"/>
  <c r="AG25" i="11"/>
  <c r="AF25" i="11"/>
  <c r="AE25" i="11"/>
  <c r="AD25" i="11"/>
  <c r="AC25" i="11"/>
  <c r="AG24" i="11"/>
  <c r="AF24" i="11"/>
  <c r="AE24" i="11"/>
  <c r="AD24" i="11"/>
  <c r="AC24" i="11"/>
  <c r="AG23" i="11"/>
  <c r="AF23" i="11"/>
  <c r="AE23" i="11"/>
  <c r="AD23" i="11"/>
  <c r="AC23" i="11"/>
  <c r="AG22" i="11"/>
  <c r="AF22" i="11"/>
  <c r="AE22" i="11"/>
  <c r="AD22" i="11"/>
  <c r="AC22" i="11"/>
  <c r="AG21" i="11"/>
  <c r="AF21" i="11"/>
  <c r="AE21" i="11"/>
  <c r="AD21" i="11"/>
  <c r="AC21" i="11"/>
  <c r="L21" i="11"/>
  <c r="P21" i="11" s="1"/>
  <c r="K21" i="11"/>
  <c r="O21" i="11"/>
  <c r="J21" i="11"/>
  <c r="N21" i="11" s="1"/>
  <c r="I21" i="11"/>
  <c r="M21" i="11"/>
  <c r="AG19" i="11"/>
  <c r="AF19" i="11"/>
  <c r="AE19" i="11"/>
  <c r="AD19" i="11"/>
  <c r="AC19" i="11"/>
  <c r="AG18" i="11"/>
  <c r="AF18" i="11"/>
  <c r="AE18" i="11"/>
  <c r="AD18" i="11"/>
  <c r="AC18" i="11"/>
  <c r="P18" i="11"/>
  <c r="O18" i="11"/>
  <c r="N18" i="11"/>
  <c r="M18" i="11"/>
  <c r="AG17" i="11"/>
  <c r="AF17" i="11"/>
  <c r="AE17" i="11"/>
  <c r="AD17" i="11"/>
  <c r="AC17" i="11"/>
  <c r="AG16" i="11"/>
  <c r="AF16" i="11"/>
  <c r="AE16" i="11"/>
  <c r="AD16" i="11"/>
  <c r="AC16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7" i="11"/>
  <c r="AF7" i="11"/>
  <c r="AE7" i="11"/>
  <c r="AD7" i="11"/>
  <c r="AC7" i="11"/>
  <c r="L7" i="11"/>
  <c r="P7" i="11" s="1"/>
  <c r="K7" i="11"/>
  <c r="O7" i="11"/>
  <c r="J7" i="11"/>
  <c r="N7" i="11" s="1"/>
  <c r="I7" i="11"/>
  <c r="M7" i="1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2" i="10"/>
  <c r="AF42" i="10"/>
  <c r="AE42" i="10"/>
  <c r="AD42" i="10"/>
  <c r="AC42" i="10"/>
  <c r="AJ41" i="10"/>
  <c r="AF41" i="10"/>
  <c r="AE41" i="10"/>
  <c r="AD41" i="10"/>
  <c r="AC41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F35" i="10"/>
  <c r="AE35" i="10"/>
  <c r="AD35" i="10"/>
  <c r="AC35" i="10"/>
  <c r="AJ34" i="10"/>
  <c r="AF34" i="10"/>
  <c r="AE34" i="10"/>
  <c r="AD34" i="10"/>
  <c r="AC34" i="10"/>
  <c r="AJ33" i="10"/>
  <c r="AF33" i="10"/>
  <c r="AE33" i="10"/>
  <c r="AD33" i="10"/>
  <c r="AC33" i="10"/>
  <c r="AJ32" i="10"/>
  <c r="AJ31" i="10"/>
  <c r="AF31" i="10"/>
  <c r="AE31" i="10"/>
  <c r="AD31" i="10"/>
  <c r="AC31" i="10"/>
  <c r="AJ28" i="10"/>
  <c r="AF28" i="10"/>
  <c r="AE28" i="10"/>
  <c r="AD28" i="10"/>
  <c r="AC28" i="10"/>
  <c r="AJ27" i="10"/>
  <c r="AF27" i="10"/>
  <c r="AE27" i="10"/>
  <c r="AD27" i="10"/>
  <c r="AC27" i="10"/>
  <c r="P27" i="10"/>
  <c r="O27" i="10"/>
  <c r="N27" i="10"/>
  <c r="M27" i="10"/>
  <c r="AJ26" i="10"/>
  <c r="AF26" i="10"/>
  <c r="AE26" i="10"/>
  <c r="AD26" i="10"/>
  <c r="AC26" i="10"/>
  <c r="AJ25" i="10"/>
  <c r="AF25" i="10"/>
  <c r="AE25" i="10"/>
  <c r="AD25" i="10"/>
  <c r="AC25" i="10"/>
  <c r="AJ24" i="10"/>
  <c r="AF24" i="10"/>
  <c r="AE24" i="10"/>
  <c r="AD24" i="10"/>
  <c r="AC24" i="10"/>
  <c r="AJ23" i="10"/>
  <c r="AF23" i="10"/>
  <c r="AE23" i="10"/>
  <c r="AD23" i="10"/>
  <c r="AC23" i="10"/>
  <c r="AJ22" i="10"/>
  <c r="AF22" i="10"/>
  <c r="AE22" i="10"/>
  <c r="AD22" i="10"/>
  <c r="AC22" i="10"/>
  <c r="AJ21" i="10"/>
  <c r="AF21" i="10"/>
  <c r="AE21" i="10"/>
  <c r="AD21" i="10"/>
  <c r="AC21" i="10"/>
  <c r="L21" i="10"/>
  <c r="P21" i="10" s="1"/>
  <c r="K21" i="10"/>
  <c r="O21" i="10"/>
  <c r="J21" i="10"/>
  <c r="N21" i="10" s="1"/>
  <c r="I21" i="10"/>
  <c r="M21" i="10"/>
  <c r="AJ19" i="10"/>
  <c r="AF19" i="10"/>
  <c r="AE19" i="10"/>
  <c r="AD19" i="10"/>
  <c r="AC19" i="10"/>
  <c r="AJ18" i="10"/>
  <c r="AF18" i="10"/>
  <c r="AE18" i="10"/>
  <c r="AD18" i="10"/>
  <c r="AC18" i="10"/>
  <c r="P18" i="10"/>
  <c r="O18" i="10"/>
  <c r="N18" i="10"/>
  <c r="M18" i="10"/>
  <c r="AJ17" i="10"/>
  <c r="AF17" i="10"/>
  <c r="AE17" i="10"/>
  <c r="AD17" i="10"/>
  <c r="AC17" i="10"/>
  <c r="AJ16" i="10"/>
  <c r="AF16" i="10"/>
  <c r="AE16" i="10"/>
  <c r="AD16" i="10"/>
  <c r="AC16" i="10"/>
  <c r="AJ14" i="10"/>
  <c r="AF14" i="10"/>
  <c r="AE14" i="10"/>
  <c r="AD14" i="10"/>
  <c r="AC14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7" i="10"/>
  <c r="AF7" i="10"/>
  <c r="AE7" i="10"/>
  <c r="AD7" i="10"/>
  <c r="AC7" i="10"/>
  <c r="L7" i="10"/>
  <c r="P7" i="10"/>
  <c r="K7" i="10"/>
  <c r="O7" i="10" s="1"/>
  <c r="J7" i="10"/>
  <c r="N7" i="10"/>
  <c r="I7" i="10"/>
  <c r="M7" i="10" s="1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F35" i="9"/>
  <c r="AE35" i="9"/>
  <c r="AD35" i="9"/>
  <c r="AC35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F33" i="9"/>
  <c r="AE33" i="9"/>
  <c r="AD33" i="9"/>
  <c r="AC33" i="9"/>
  <c r="AJ32" i="9"/>
  <c r="AI32" i="9"/>
  <c r="AH32" i="9"/>
  <c r="AG32" i="9"/>
  <c r="AJ31" i="9"/>
  <c r="AI31" i="9"/>
  <c r="AH31" i="9"/>
  <c r="AG31" i="9"/>
  <c r="AF31" i="9"/>
  <c r="AE31" i="9"/>
  <c r="AD31" i="9"/>
  <c r="AC31" i="9"/>
  <c r="AJ28" i="9"/>
  <c r="AI28" i="9"/>
  <c r="AH28" i="9"/>
  <c r="AG28" i="9"/>
  <c r="AF28" i="9"/>
  <c r="AE28" i="9"/>
  <c r="AD28" i="9"/>
  <c r="AC28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AJ21" i="9"/>
  <c r="AI21" i="9"/>
  <c r="AH21" i="9"/>
  <c r="AG21" i="9"/>
  <c r="AF21" i="9"/>
  <c r="AE21" i="9"/>
  <c r="AD21" i="9"/>
  <c r="AC21" i="9"/>
  <c r="L21" i="9"/>
  <c r="P21" i="9" s="1"/>
  <c r="K21" i="9"/>
  <c r="J21" i="9"/>
  <c r="I21" i="9"/>
  <c r="AJ19" i="9"/>
  <c r="AI19" i="9"/>
  <c r="AH19" i="9"/>
  <c r="AG19" i="9"/>
  <c r="AF19" i="9"/>
  <c r="AE19" i="9"/>
  <c r="AD19" i="9"/>
  <c r="AC19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4" i="9"/>
  <c r="AI14" i="9"/>
  <c r="AH14" i="9"/>
  <c r="AG14" i="9"/>
  <c r="AF14" i="9"/>
  <c r="AE14" i="9"/>
  <c r="AD14" i="9"/>
  <c r="AC14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 s="1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J31" i="7"/>
  <c r="AI31" i="7"/>
  <c r="AH31" i="7"/>
  <c r="AG31" i="7"/>
  <c r="AF31" i="7"/>
  <c r="AE31" i="7"/>
  <c r="AD31" i="7"/>
  <c r="AC31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AJ21" i="7"/>
  <c r="AI21" i="7"/>
  <c r="AH21" i="7"/>
  <c r="AG21" i="7"/>
  <c r="AF21" i="7"/>
  <c r="AE21" i="7"/>
  <c r="AD21" i="7"/>
  <c r="AC21" i="7"/>
  <c r="L21" i="7"/>
  <c r="P21" i="7" s="1"/>
  <c r="K21" i="7"/>
  <c r="O21" i="7" s="1"/>
  <c r="J21" i="7"/>
  <c r="N21" i="7" s="1"/>
  <c r="I21" i="7"/>
  <c r="M21" i="7"/>
  <c r="AJ19" i="7"/>
  <c r="AI19" i="7"/>
  <c r="AH19" i="7"/>
  <c r="AG19" i="7"/>
  <c r="AF19" i="7"/>
  <c r="AE19" i="7"/>
  <c r="AD19" i="7"/>
  <c r="AC19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7" i="7"/>
  <c r="AI7" i="7"/>
  <c r="AH7" i="7"/>
  <c r="AG7" i="7"/>
  <c r="AF7" i="7"/>
  <c r="AE7" i="7"/>
  <c r="AD7" i="7"/>
  <c r="AC7" i="7"/>
  <c r="L7" i="7"/>
  <c r="P7" i="7" s="1"/>
  <c r="K7" i="7"/>
  <c r="O7" i="7"/>
  <c r="J7" i="7"/>
  <c r="N7" i="7" s="1"/>
  <c r="I7" i="7"/>
  <c r="M7" i="7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J31" i="6"/>
  <c r="AI31" i="6"/>
  <c r="AH31" i="6"/>
  <c r="AG31" i="6"/>
  <c r="AF31" i="6"/>
  <c r="AE31" i="6"/>
  <c r="AD31" i="6"/>
  <c r="AC31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AJ21" i="6"/>
  <c r="AI21" i="6"/>
  <c r="AH21" i="6"/>
  <c r="AG21" i="6"/>
  <c r="AF21" i="6"/>
  <c r="AE21" i="6"/>
  <c r="AD21" i="6"/>
  <c r="AC21" i="6"/>
  <c r="O21" i="6"/>
  <c r="I21" i="6"/>
  <c r="M21" i="6" s="1"/>
  <c r="AJ19" i="6"/>
  <c r="AI19" i="6"/>
  <c r="AH19" i="6"/>
  <c r="AG19" i="6"/>
  <c r="AF19" i="6"/>
  <c r="AE19" i="6"/>
  <c r="AD19" i="6"/>
  <c r="AC19" i="6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7" i="6"/>
  <c r="AI7" i="6"/>
  <c r="AH7" i="6"/>
  <c r="AG7" i="6"/>
  <c r="AF7" i="6"/>
  <c r="AE7" i="6"/>
  <c r="AD7" i="6"/>
  <c r="AC7" i="6"/>
  <c r="O7" i="6"/>
  <c r="I7" i="6"/>
  <c r="M7" i="6" s="1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J31" i="5"/>
  <c r="AI31" i="5"/>
  <c r="AH31" i="5"/>
  <c r="AG31" i="5"/>
  <c r="AF31" i="5"/>
  <c r="AE31" i="5"/>
  <c r="AD31" i="5"/>
  <c r="AC31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AJ21" i="5"/>
  <c r="AI21" i="5"/>
  <c r="AH21" i="5"/>
  <c r="AG21" i="5"/>
  <c r="AF21" i="5"/>
  <c r="AE21" i="5"/>
  <c r="AD21" i="5"/>
  <c r="AC21" i="5"/>
  <c r="L21" i="5"/>
  <c r="P21" i="5"/>
  <c r="N21" i="5"/>
  <c r="AJ19" i="5"/>
  <c r="AI19" i="5"/>
  <c r="AH19" i="5"/>
  <c r="AG19" i="5"/>
  <c r="AF19" i="5"/>
  <c r="AE19" i="5"/>
  <c r="AD19" i="5"/>
  <c r="AC19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7" i="5"/>
  <c r="AI7" i="5"/>
  <c r="AH7" i="5"/>
  <c r="AG7" i="5"/>
  <c r="AF7" i="5"/>
  <c r="AE7" i="5"/>
  <c r="AD7" i="5"/>
  <c r="AC7" i="5"/>
  <c r="L7" i="5"/>
  <c r="P7" i="5"/>
  <c r="N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G12" i="10"/>
  <c r="AG21" i="12"/>
  <c r="AH7" i="17"/>
  <c r="AJ7" i="17" s="1"/>
  <c r="AH21" i="17"/>
  <c r="AJ21" i="17"/>
  <c r="M21" i="16"/>
  <c r="AH21" i="15"/>
  <c r="AJ21" i="15" s="1"/>
  <c r="O7" i="17"/>
  <c r="AJ17" i="11"/>
  <c r="AK7" i="17"/>
  <c r="O21" i="17"/>
  <c r="N7" i="17"/>
  <c r="M7" i="13"/>
  <c r="AG7" i="12"/>
  <c r="AO32" i="16"/>
  <c r="AI30" i="10"/>
  <c r="AI4" i="10"/>
  <c r="AG4" i="10"/>
  <c r="AP12" i="16"/>
  <c r="AG29" i="10"/>
  <c r="AG27" i="10"/>
  <c r="AP21" i="16"/>
  <c r="AH8" i="17"/>
  <c r="AJ8" i="17"/>
  <c r="AH21" i="12"/>
  <c r="AH7" i="12"/>
  <c r="AK38" i="9"/>
  <c r="AK41" i="9"/>
  <c r="AG20" i="10"/>
  <c r="AJ28" i="11"/>
  <c r="AK14" i="9"/>
  <c r="AK18" i="9"/>
  <c r="AK39" i="9"/>
  <c r="AK42" i="9"/>
  <c r="AO18" i="16"/>
  <c r="AO22" i="16"/>
  <c r="AP42" i="16"/>
  <c r="P7" i="6"/>
  <c r="AO41" i="16"/>
  <c r="AO14" i="16"/>
  <c r="AK4" i="9"/>
  <c r="AK11" i="9"/>
  <c r="AK16" i="9"/>
  <c r="AK22" i="9"/>
  <c r="AK24" i="9"/>
  <c r="AK27" i="9"/>
  <c r="AK32" i="9"/>
  <c r="AK36" i="9"/>
  <c r="M7" i="5"/>
  <c r="AK10" i="9"/>
  <c r="AK12" i="9"/>
  <c r="AK17" i="9"/>
  <c r="AK21" i="9"/>
  <c r="AK28" i="9"/>
  <c r="AK33" i="9"/>
  <c r="AK35" i="9"/>
  <c r="AP33" i="16"/>
  <c r="AO12" i="16"/>
  <c r="AK26" i="9"/>
  <c r="AO7" i="16"/>
  <c r="M8" i="16"/>
  <c r="AG8" i="15"/>
  <c r="AI8" i="15" s="1"/>
  <c r="AO15" i="16"/>
  <c r="AG7" i="15"/>
  <c r="AI7" i="15" s="1"/>
  <c r="AL21" i="17"/>
  <c r="AH21" i="13"/>
  <c r="AJ21" i="13"/>
  <c r="AO19" i="16"/>
  <c r="AH7" i="15"/>
  <c r="AJ7" i="15" s="1"/>
  <c r="AG7" i="16"/>
  <c r="AI7" i="16"/>
  <c r="AK37" i="9"/>
  <c r="M8" i="12"/>
  <c r="AO17" i="16"/>
  <c r="AO21" i="16"/>
  <c r="AG14" i="10"/>
  <c r="AO34" i="16"/>
  <c r="AO16" i="16"/>
  <c r="AO37" i="16"/>
  <c r="AG21" i="16"/>
  <c r="AI21" i="16" s="1"/>
  <c r="M8" i="13"/>
  <c r="AP11" i="16"/>
  <c r="AO42" i="16"/>
  <c r="AO43" i="16"/>
  <c r="AP5" i="16"/>
  <c r="AK5" i="9"/>
  <c r="AO31" i="16"/>
  <c r="AO36" i="16"/>
  <c r="AP24" i="16"/>
  <c r="AO24" i="16"/>
  <c r="AO23" i="16"/>
  <c r="AO13" i="16"/>
  <c r="AJ26" i="11"/>
  <c r="AH12" i="11"/>
  <c r="AK44" i="9"/>
  <c r="AP44" i="16"/>
  <c r="AO25" i="16"/>
  <c r="AO35" i="16"/>
  <c r="AH19" i="11"/>
  <c r="AK19" i="9"/>
  <c r="AP19" i="16"/>
  <c r="AK6" i="9"/>
  <c r="AO6" i="16"/>
  <c r="AP20" i="16"/>
  <c r="AP30" i="16"/>
  <c r="AO30" i="16"/>
  <c r="AP10" i="16"/>
  <c r="AO10" i="16"/>
  <c r="AP18" i="16"/>
  <c r="AP38" i="16"/>
  <c r="AO28" i="16"/>
  <c r="AK9" i="9"/>
  <c r="AO27" i="16"/>
  <c r="AG9" i="10"/>
  <c r="AO9" i="16"/>
  <c r="AL7" i="17"/>
  <c r="M21" i="13"/>
  <c r="AG21" i="13"/>
  <c r="AI21" i="13" s="1"/>
  <c r="AI9" i="10"/>
  <c r="AI13" i="10"/>
  <c r="AP13" i="16"/>
  <c r="AI25" i="10"/>
  <c r="AP25" i="16"/>
  <c r="AG44" i="10"/>
  <c r="AO44" i="16"/>
  <c r="AI29" i="10"/>
  <c r="AP29" i="16"/>
  <c r="AI35" i="10"/>
  <c r="AP35" i="16"/>
  <c r="AH4" i="11"/>
  <c r="AO4" i="16"/>
  <c r="AJ43" i="11"/>
  <c r="AP43" i="16"/>
  <c r="AO40" i="16"/>
  <c r="AG40" i="10"/>
  <c r="AO5" i="16"/>
  <c r="AH5" i="11"/>
  <c r="N7" i="6"/>
  <c r="AJ14" i="11"/>
  <c r="AP14" i="16"/>
  <c r="AG38" i="10"/>
  <c r="AO38" i="16"/>
  <c r="AG39" i="10"/>
  <c r="AO39" i="16"/>
  <c r="O8" i="13"/>
  <c r="AH8" i="13"/>
  <c r="AJ8" i="13"/>
  <c r="AJ23" i="11"/>
  <c r="AP23" i="16"/>
  <c r="AO11" i="16"/>
  <c r="AG11" i="10"/>
  <c r="AG26" i="10"/>
  <c r="AJ27" i="11"/>
  <c r="AP27" i="16"/>
  <c r="AP31" i="16"/>
  <c r="AJ31" i="11"/>
  <c r="AG21" i="17"/>
  <c r="AI21" i="17"/>
  <c r="AH8" i="12"/>
  <c r="AK8" i="17"/>
  <c r="AP40" i="16"/>
  <c r="AI18" i="10"/>
  <c r="AP32" i="16"/>
  <c r="AP22" i="16"/>
  <c r="AG35" i="10"/>
  <c r="AP37" i="16"/>
  <c r="AK21" i="17"/>
  <c r="AP41" i="16"/>
  <c r="AK34" i="9"/>
  <c r="AH7" i="16"/>
  <c r="AJ7" i="16" s="1"/>
  <c r="AP7" i="16"/>
  <c r="AK43" i="9"/>
  <c r="AK25" i="9"/>
  <c r="AH8" i="16"/>
  <c r="AJ8" i="16"/>
  <c r="AK13" i="9"/>
  <c r="M8" i="17"/>
  <c r="AP15" i="16"/>
  <c r="AO33" i="16"/>
  <c r="O8" i="16"/>
  <c r="AH8" i="15"/>
  <c r="AJ8" i="15" s="1"/>
  <c r="AP8" i="16"/>
  <c r="AO8" i="16"/>
  <c r="AO37" i="13" l="1"/>
  <c r="AI37" i="12"/>
  <c r="AO20" i="13"/>
  <c r="AI20" i="12"/>
  <c r="AO8" i="13"/>
  <c r="AI8" i="12"/>
  <c r="AO7" i="13"/>
  <c r="AI7" i="12"/>
  <c r="AI11" i="12"/>
  <c r="AQ31" i="15"/>
  <c r="AO38" i="13"/>
  <c r="AP34" i="16"/>
  <c r="AP36" i="16"/>
  <c r="AG21" i="15"/>
  <c r="AI21" i="15" s="1"/>
  <c r="M21" i="15"/>
  <c r="AI9" i="12"/>
  <c r="AP31" i="15"/>
  <c r="M31" i="9"/>
  <c r="AK31" i="9" s="1"/>
  <c r="AK31" i="7"/>
  <c r="AO34" i="13"/>
  <c r="AI34" i="12"/>
  <c r="AQ34" i="17"/>
  <c r="AJ23" i="12"/>
  <c r="AO23" i="13"/>
  <c r="AR34" i="17"/>
  <c r="AP16" i="16"/>
  <c r="AP39" i="16"/>
  <c r="AO19" i="13"/>
  <c r="Q7" i="14"/>
  <c r="AJ7" i="14"/>
  <c r="AL7" i="14" s="1"/>
  <c r="AJ7" i="12" s="1"/>
  <c r="K7" i="5"/>
  <c r="O7" i="5" s="1"/>
  <c r="O8" i="9"/>
  <c r="AK8" i="9" s="1"/>
  <c r="AP8" i="15"/>
  <c r="AK8" i="7"/>
  <c r="AP5" i="15"/>
  <c r="AK5" i="7"/>
  <c r="AR30" i="17"/>
  <c r="AO26" i="16"/>
  <c r="AG8" i="13"/>
  <c r="AI8" i="13" s="1"/>
  <c r="AG8" i="16"/>
  <c r="AI8" i="16" s="1"/>
  <c r="AP26" i="15"/>
  <c r="AP7" i="15"/>
  <c r="AO27" i="13"/>
  <c r="AQ23" i="17"/>
  <c r="AK23" i="7"/>
  <c r="AJ5" i="14"/>
  <c r="AL5" i="14" s="1"/>
  <c r="AR38" i="17"/>
  <c r="AR32" i="17"/>
  <c r="AR27" i="17"/>
  <c r="AR23" i="17"/>
  <c r="AR17" i="17"/>
  <c r="AR15" i="17"/>
  <c r="AR11" i="17"/>
  <c r="AR9" i="17"/>
  <c r="AI5" i="14"/>
  <c r="AK5" i="14" s="1"/>
  <c r="AI5" i="12" s="1"/>
  <c r="AR44" i="17"/>
  <c r="AR36" i="17"/>
  <c r="AR18" i="17"/>
  <c r="AR26" i="17"/>
  <c r="AR22" i="17"/>
  <c r="AR14" i="17"/>
  <c r="AJ25" i="12"/>
  <c r="AQ25" i="17"/>
  <c r="AJ24" i="12"/>
  <c r="AO24" i="13"/>
  <c r="AQ6" i="17"/>
  <c r="AO6" i="13"/>
  <c r="AI6" i="12"/>
  <c r="AJ5" i="12"/>
  <c r="AQ20" i="15"/>
  <c r="AR20" i="17"/>
  <c r="AP9" i="16"/>
  <c r="AP4" i="16"/>
  <c r="AO4" i="13"/>
  <c r="AQ4" i="17"/>
  <c r="AI4" i="12"/>
  <c r="AR7" i="17"/>
  <c r="AQ7" i="15"/>
  <c r="O7" i="13"/>
  <c r="AH20" i="11"/>
  <c r="AO20" i="16"/>
  <c r="O21" i="16"/>
  <c r="AQ33" i="17"/>
  <c r="AI33" i="12"/>
  <c r="AO33" i="13"/>
  <c r="AQ32" i="17"/>
  <c r="AI32" i="12"/>
  <c r="AO32" i="13"/>
  <c r="AQ28" i="17"/>
  <c r="AO28" i="13"/>
  <c r="AI28" i="12"/>
  <c r="AQ27" i="17"/>
  <c r="AI27" i="12"/>
  <c r="AI15" i="12"/>
  <c r="AQ15" i="17"/>
  <c r="AO15" i="13"/>
  <c r="AO10" i="13"/>
  <c r="AQ10" i="17"/>
  <c r="AQ44" i="17"/>
  <c r="AJ44" i="12"/>
  <c r="AO40" i="13"/>
  <c r="AJ40" i="12"/>
  <c r="AO39" i="13"/>
  <c r="AQ39" i="17"/>
  <c r="AQ19" i="17"/>
  <c r="AJ19" i="12"/>
  <c r="AJ16" i="12"/>
  <c r="AO16" i="13"/>
  <c r="J45" i="6"/>
  <c r="AP23" i="15"/>
  <c r="M23" i="9"/>
  <c r="AK23" i="9" s="1"/>
  <c r="AP20" i="15"/>
  <c r="AK20" i="7"/>
  <c r="M20" i="9"/>
  <c r="AK20" i="9" s="1"/>
  <c r="AO21" i="13"/>
  <c r="AQ21" i="17"/>
  <c r="AI21" i="12"/>
  <c r="AO29" i="16"/>
  <c r="AO41" i="13"/>
  <c r="AQ38" i="17"/>
  <c r="AQ37" i="17"/>
  <c r="AQ36" i="17"/>
  <c r="AO25" i="13"/>
  <c r="AO22" i="13"/>
  <c r="AQ22" i="17"/>
  <c r="AQ16" i="17"/>
  <c r="AQ8" i="17"/>
  <c r="AR5" i="17"/>
  <c r="AQ5" i="15"/>
  <c r="M7" i="9"/>
  <c r="AK37" i="7"/>
  <c r="AP37" i="15"/>
  <c r="AP45" i="15" s="1"/>
  <c r="AQ42" i="17"/>
  <c r="AO42" i="13"/>
  <c r="AQ41" i="17"/>
  <c r="AQ40" i="17"/>
  <c r="AO31" i="13"/>
  <c r="AQ31" i="17"/>
  <c r="AO30" i="13"/>
  <c r="AQ30" i="17"/>
  <c r="AO26" i="13"/>
  <c r="AQ26" i="17"/>
  <c r="AQ14" i="17"/>
  <c r="AO14" i="13"/>
  <c r="AO13" i="13"/>
  <c r="AQ13" i="17"/>
  <c r="AQ11" i="17"/>
  <c r="AQ5" i="17"/>
  <c r="AR39" i="17"/>
  <c r="AR33" i="17"/>
  <c r="I45" i="5"/>
  <c r="AQ43" i="17"/>
  <c r="AO43" i="13"/>
  <c r="AO35" i="13"/>
  <c r="AQ35" i="17"/>
  <c r="AQ24" i="17"/>
  <c r="AQ20" i="17"/>
  <c r="AQ18" i="17"/>
  <c r="AO18" i="13"/>
  <c r="AO17" i="13"/>
  <c r="AQ17" i="17"/>
  <c r="AO9" i="13"/>
  <c r="AQ37" i="15"/>
  <c r="AR37" i="17"/>
  <c r="AR42" i="17"/>
  <c r="L45" i="6"/>
  <c r="AQ45" i="15"/>
  <c r="AR29" i="17"/>
  <c r="AQ29" i="17"/>
  <c r="AI29" i="12"/>
  <c r="AO29" i="13"/>
  <c r="AO5" i="13" l="1"/>
  <c r="AQ7" i="17"/>
  <c r="AK7" i="7"/>
  <c r="AK45" i="7" s="1"/>
  <c r="O7" i="9"/>
  <c r="O45" i="9" s="1"/>
  <c r="K45" i="5"/>
  <c r="M45" i="9"/>
  <c r="AK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J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Klaasimainate jahutusvesi 76 792 m3
</t>
        </r>
      </text>
    </comment>
    <comment ref="N1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0,22 klaasimasinate jahutusveed
</t>
        </r>
      </text>
    </comment>
    <comment ref="N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1,38 Kuremaa Enveko, alates 01.07.2018 1,54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2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V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sharedStrings.xml><?xml version="1.0" encoding="utf-8"?>
<sst xmlns="http://schemas.openxmlformats.org/spreadsheetml/2006/main" count="1261" uniqueCount="101">
  <si>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</si>
  <si>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</si>
  <si>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</si>
  <si>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</si>
  <si>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</si>
  <si>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</si>
  <si>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</si>
  <si>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</si>
  <si>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</si>
  <si>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</si>
  <si>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</si>
  <si>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</si>
  <si>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</si>
  <si>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</si>
  <si>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</si>
  <si>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</si>
  <si>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</si>
  <si>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</si>
  <si>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II PA 2018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</si>
  <si>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</si>
  <si>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</si>
  <si>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</si>
  <si>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</si>
  <si>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</si>
  <si>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</si>
  <si>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</si>
  <si>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</si>
  <si>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Abja Elamu OÜ*</t>
  </si>
  <si>
    <t>Emajõe Veevärk AS*</t>
  </si>
  <si>
    <t>EsmarVesi OÜ**</t>
  </si>
  <si>
    <t>Haapsalu Veevärk AS*</t>
  </si>
  <si>
    <t>Häädemeeste VK AS</t>
  </si>
  <si>
    <t>Iivakivi AS**</t>
  </si>
  <si>
    <t>Järvakandi Komm.OÜ</t>
  </si>
  <si>
    <t>Järve Biopuhastus OÜ*</t>
  </si>
  <si>
    <t>Jõgeva Veevärk OÜ**</t>
  </si>
  <si>
    <t>Kadrina Soojus AS</t>
  </si>
  <si>
    <t>Kärdla Veevärk AS*</t>
  </si>
  <si>
    <t>Kehtna elamu OÜ**</t>
  </si>
  <si>
    <t>Keila Vesi AS</t>
  </si>
  <si>
    <t>Kiili KVH OÜ</t>
  </si>
  <si>
    <t>Kohila Maja OÜ</t>
  </si>
  <si>
    <t>Kose Vesi OÜ</t>
  </si>
  <si>
    <t>Kuressaare Veevärk AS*</t>
  </si>
  <si>
    <t>Lahevesi AS**</t>
  </si>
  <si>
    <t>Matsalu Veevärk AS</t>
  </si>
  <si>
    <t>Paide Vesi AS*</t>
  </si>
  <si>
    <t>Pärnu Vesi AS**</t>
  </si>
  <si>
    <t>Põltsamaa Varahalduse OÜ**</t>
  </si>
  <si>
    <t>Põlva Vesi  AS**</t>
  </si>
  <si>
    <t>Rakvere Vesi AS**</t>
  </si>
  <si>
    <t>Rapla Vesi AS</t>
  </si>
  <si>
    <t>Raven OÜ</t>
  </si>
  <si>
    <t>Saarde Kommunaal OÜ</t>
  </si>
  <si>
    <t>Saku Maja AS*</t>
  </si>
  <si>
    <t>Sillamäe Veevärk AS</t>
  </si>
  <si>
    <t>Strantum OÜ</t>
  </si>
  <si>
    <t>Tallinna Vesi AS**</t>
  </si>
  <si>
    <t>Tapa Vesi OÜ</t>
  </si>
  <si>
    <t>Tartu Veevärk AS</t>
  </si>
  <si>
    <t>Toila V.V AS</t>
  </si>
  <si>
    <t>Türi Vesi OÜ**</t>
  </si>
  <si>
    <t>Valga Vesi AS**</t>
  </si>
  <si>
    <t>Velko AV OÜ</t>
  </si>
  <si>
    <t>Viimsi Vesi AS**</t>
  </si>
  <si>
    <t>Viljandi Veevärk AS</t>
  </si>
  <si>
    <t>Võhma ELKO*</t>
  </si>
  <si>
    <t>Võru Vesi**</t>
  </si>
  <si>
    <t>* -keskmestatud hind</t>
  </si>
  <si>
    <t>**-põhipiirkonna hind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</si>
  <si>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</si>
  <si>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eraldi elanike ja ettevõtete vahel arvestust ei peeta</t>
  </si>
  <si>
    <t>keskmine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</si>
  <si>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</si>
  <si>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t>elanikud vesi</t>
  </si>
  <si>
    <t>elanikud kanal</t>
  </si>
  <si>
    <t>vesi+kanal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</si>
  <si>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</si>
  <si>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</si>
  <si>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Elveso AS</t>
  </si>
  <si>
    <t>Emajõe Veevärk AS</t>
  </si>
  <si>
    <t>Esmar Ehitus+Vesi</t>
  </si>
  <si>
    <t>Iivakivi AS</t>
  </si>
  <si>
    <t>Järve Biopuhastus OÜ</t>
  </si>
  <si>
    <t>Jõgeva Veevärk OÜ</t>
  </si>
  <si>
    <t>Kiviõli Vesi OÜ**</t>
  </si>
  <si>
    <t>Kuremaa ENVEKO AS</t>
  </si>
  <si>
    <t>Lahevesi AS</t>
  </si>
  <si>
    <t>Paldiski Linnahoolduse  OÜ**</t>
  </si>
  <si>
    <t>Põltsamaa Varahalduse OÜ</t>
  </si>
  <si>
    <t>Põlva Vesi  AS</t>
  </si>
  <si>
    <t>Saku Maja AS</t>
  </si>
  <si>
    <t>Tallinna Vesi AS</t>
  </si>
  <si>
    <t>Türi Vesi OÜ</t>
  </si>
  <si>
    <t>Valga Vesi AS</t>
  </si>
  <si>
    <t>Vändra</t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</si>
  <si>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</si>
  <si>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</si>
  <si>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</si>
  <si>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</si>
  <si>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Jõgeva Veevärk OÜ*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</si>
</sst>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_ ;\-#,##0.000\ 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2" fillId="0" borderId="0"/>
  </cellStyleXfs>
  <cellXfs count="89">
    <xf numFmtId="0" fontId="0" fillId="0" borderId="0" xfId="0"/>
    <xf numFmtId="0" fontId="0" fillId="0" borderId="5" xfId="0" applyBorder="1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0" fontId="0" fillId="0" borderId="12" xfId="0" applyBorder="1"/>
    <xf numFmtId="2" fontId="0" fillId="0" borderId="0" xfId="0" applyNumberFormat="1"/>
    <xf numFmtId="0" fontId="0" fillId="25" borderId="5" xfId="0" applyFill="1" applyBorder="1"/>
    <xf numFmtId="0" fontId="0" fillId="26" borderId="1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1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12" xfId="0" applyFill="1" applyBorder="1"/>
    <xf numFmtId="0" fontId="0" fillId="28" borderId="0" xfId="0" applyFill="1"/>
    <xf numFmtId="0" fontId="0" fillId="29" borderId="2" xfId="0" applyFill="1" applyBorder="1"/>
    <xf numFmtId="0" fontId="0" fillId="29" borderId="12" xfId="0" applyFill="1" applyBorder="1"/>
    <xf numFmtId="0" fontId="0" fillId="29" borderId="1" xfId="0" applyFill="1" applyBorder="1"/>
    <xf numFmtId="0" fontId="0" fillId="29" borderId="3" xfId="0" applyFill="1" applyBorder="1"/>
    <xf numFmtId="0" fontId="0" fillId="27" borderId="0" xfId="0" applyFill="1"/>
    <xf numFmtId="0" fontId="0" fillId="29" borderId="1" xfId="0" applyFill="1" applyBorder="1" applyAlignment="1">
      <alignment wrapText="1"/>
    </xf>
    <xf numFmtId="0" fontId="0" fillId="30" borderId="12" xfId="0" applyFill="1" applyBorder="1"/>
    <xf numFmtId="0" fontId="0" fillId="30" borderId="4" xfId="0" applyFill="1" applyBorder="1"/>
    <xf numFmtId="0" fontId="0" fillId="30" borderId="5" xfId="0" applyFill="1" applyBorder="1"/>
    <xf numFmtId="0" fontId="0" fillId="25" borderId="13" xfId="0" applyFill="1" applyBorder="1" applyAlignment="1">
      <alignment horizontal="center"/>
    </xf>
    <xf numFmtId="0" fontId="16" fillId="25" borderId="5" xfId="0" applyFont="1" applyFill="1" applyBorder="1" applyAlignment="1">
      <alignment horizontal="center"/>
    </xf>
    <xf numFmtId="0" fontId="0" fillId="25" borderId="13" xfId="0" applyFill="1" applyBorder="1"/>
    <xf numFmtId="14" fontId="16" fillId="25" borderId="5" xfId="0" applyNumberFormat="1" applyFont="1" applyFill="1" applyBorder="1"/>
    <xf numFmtId="0" fontId="19" fillId="23" borderId="0" xfId="0" applyFont="1" applyFill="1"/>
    <xf numFmtId="0" fontId="0" fillId="23" borderId="16" xfId="0" applyFill="1" applyBorder="1"/>
    <xf numFmtId="0" fontId="0" fillId="0" borderId="16" xfId="0" applyBorder="1"/>
    <xf numFmtId="0" fontId="2" fillId="23" borderId="4" xfId="1" applyFill="1" applyBorder="1"/>
    <xf numFmtId="0" fontId="2" fillId="23" borderId="16" xfId="1" applyFill="1" applyBorder="1"/>
    <xf numFmtId="0" fontId="22" fillId="23" borderId="1" xfId="38" applyFill="1" applyBorder="1"/>
    <xf numFmtId="0" fontId="0" fillId="32" borderId="0" xfId="0" applyFill="1"/>
    <xf numFmtId="0" fontId="2" fillId="32" borderId="17" xfId="1" applyFill="1" applyBorder="1"/>
    <xf numFmtId="0" fontId="0" fillId="32" borderId="17" xfId="0" applyFill="1" applyBorder="1"/>
    <xf numFmtId="2" fontId="0" fillId="32" borderId="17" xfId="0" applyNumberFormat="1" applyFill="1" applyBorder="1"/>
    <xf numFmtId="165" fontId="0" fillId="32" borderId="17" xfId="0" applyNumberFormat="1" applyFill="1" applyBorder="1"/>
    <xf numFmtId="0" fontId="2" fillId="23" borderId="17" xfId="1" applyFill="1" applyBorder="1"/>
    <xf numFmtId="0" fontId="0" fillId="25" borderId="1" xfId="0" applyFill="1" applyBorder="1"/>
    <xf numFmtId="0" fontId="0" fillId="25" borderId="2" xfId="0" applyFill="1" applyBorder="1"/>
    <xf numFmtId="0" fontId="0" fillId="25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5" borderId="17" xfId="0" applyFill="1" applyBorder="1"/>
    <xf numFmtId="0" fontId="0" fillId="31" borderId="17" xfId="0" applyFill="1" applyBorder="1"/>
    <xf numFmtId="0" fontId="0" fillId="23" borderId="17" xfId="0" applyFill="1" applyBorder="1"/>
    <xf numFmtId="164" fontId="0" fillId="23" borderId="17" xfId="0" applyNumberFormat="1" applyFill="1" applyBorder="1"/>
    <xf numFmtId="2" fontId="0" fillId="23" borderId="17" xfId="0" applyNumberFormat="1" applyFill="1" applyBorder="1"/>
    <xf numFmtId="165" fontId="0" fillId="23" borderId="17" xfId="0" applyNumberFormat="1" applyFill="1" applyBorder="1"/>
    <xf numFmtId="0" fontId="0" fillId="0" borderId="17" xfId="0" applyBorder="1"/>
    <xf numFmtId="164" fontId="0" fillId="0" borderId="17" xfId="0" applyNumberFormat="1" applyBorder="1"/>
    <xf numFmtId="2" fontId="0" fillId="0" borderId="17" xfId="0" applyNumberFormat="1" applyBorder="1"/>
    <xf numFmtId="165" fontId="0" fillId="0" borderId="17" xfId="0" applyNumberFormat="1" applyBorder="1"/>
    <xf numFmtId="165" fontId="0" fillId="28" borderId="17" xfId="0" applyNumberFormat="1" applyFill="1" applyBorder="1"/>
    <xf numFmtId="0" fontId="14" fillId="23" borderId="17" xfId="1" applyFont="1" applyFill="1" applyBorder="1"/>
    <xf numFmtId="164" fontId="0" fillId="32" borderId="17" xfId="0" applyNumberFormat="1" applyFill="1" applyBorder="1"/>
    <xf numFmtId="166" fontId="20" fillId="32" borderId="17" xfId="37" applyNumberFormat="1" applyFont="1" applyFill="1" applyBorder="1" applyAlignment="1">
      <alignment horizontal="right"/>
    </xf>
    <xf numFmtId="0" fontId="2" fillId="33" borderId="17" xfId="1" applyFill="1" applyBorder="1"/>
    <xf numFmtId="0" fontId="21" fillId="23" borderId="17" xfId="1" applyFont="1" applyFill="1" applyBorder="1"/>
    <xf numFmtId="0" fontId="0" fillId="24" borderId="17" xfId="0" applyFill="1" applyBorder="1"/>
    <xf numFmtId="0" fontId="14" fillId="33" borderId="17" xfId="1" applyFont="1" applyFill="1" applyBorder="1"/>
    <xf numFmtId="0" fontId="0" fillId="28" borderId="17" xfId="0" applyFill="1" applyBorder="1"/>
    <xf numFmtId="2" fontId="0" fillId="28" borderId="17" xfId="0" applyNumberFormat="1" applyFill="1" applyBorder="1"/>
    <xf numFmtId="0" fontId="2" fillId="28" borderId="17" xfId="1" applyFill="1" applyBorder="1"/>
    <xf numFmtId="0" fontId="2" fillId="33" borderId="18" xfId="1" applyFill="1" applyBorder="1"/>
    <xf numFmtId="0" fontId="2" fillId="32" borderId="18" xfId="1" applyFill="1" applyBorder="1"/>
    <xf numFmtId="0" fontId="0" fillId="32" borderId="18" xfId="0" applyFill="1" applyBorder="1"/>
    <xf numFmtId="2" fontId="0" fillId="32" borderId="18" xfId="0" applyNumberFormat="1" applyFill="1" applyBorder="1"/>
    <xf numFmtId="165" fontId="0" fillId="32" borderId="18" xfId="0" applyNumberFormat="1" applyFill="1" applyBorder="1"/>
    <xf numFmtId="0" fontId="0" fillId="31" borderId="1" xfId="0" applyFill="1" applyBorder="1" applyAlignment="1">
      <alignment horizontal="center"/>
    </xf>
    <xf numFmtId="0" fontId="0" fillId="31" borderId="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5" borderId="1" xfId="0" applyFill="1" applyBorder="1"/>
    <xf numFmtId="0" fontId="0" fillId="25" borderId="2" xfId="0" applyFill="1" applyBorder="1"/>
    <xf numFmtId="0" fontId="0" fillId="25" borderId="3" xfId="0" applyFill="1" applyBorder="1"/>
    <xf numFmtId="0" fontId="0" fillId="25" borderId="1" xfId="0" applyFill="1" applyBorder="1" applyAlignment="1">
      <alignment wrapText="1"/>
    </xf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3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Normaallaad" xfId="0" builtinId="0"/>
    <cellStyle name="Normaallaad 2" xfId="1" xr:uid="{00000000-0005-0000-0000-000023000000}"/>
    <cellStyle name="Normaallaad_Leht1" xfId="38" xr:uid="{00000000-0005-0000-0000-000024000000}"/>
    <cellStyle name="Normal 2 2" xfId="37" xr:uid="{00000000-0005-0000-0000-000025000000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31.12.2018(ilma km-ta)</a:t>
            </a:r>
            <a:endParaRPr lang="et-EE"/>
          </a:p>
        </c:rich>
      </c:tx>
      <c:layout>
        <c:manualLayout>
          <c:xMode val="edge"/>
          <c:yMode val="edge"/>
          <c:x val="0.22311044930271973"/>
          <c:y val="2.46261683925760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'!$B$3:$B$47</c:f>
            </c:numRef>
          </c:val>
          <c:extLst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'!$C$3:$C$47</c:f>
            </c:numRef>
          </c:val>
          <c:extLst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'!$D$3:$D$47</c:f>
            </c:numRef>
          </c:val>
          <c:extLst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'!$E$3:$E$47</c:f>
            </c:numRef>
          </c:val>
          <c:extLst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'!$F$3:$F$47</c:f>
            </c:numRef>
          </c:val>
          <c:extLst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'!$G$3:$G$47</c:f>
            </c:numRef>
          </c:val>
          <c:extLst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'!$H$3:$H$47</c:f>
            </c:numRef>
          </c:val>
          <c:extLst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'!$I$3:$I$47</c:f>
              <c:numCache>
                <c:formatCode>General</c:formatCode>
                <c:ptCount val="45"/>
                <c:pt idx="0">
                  <c:v>0</c:v>
                </c:pt>
                <c:pt idx="1">
                  <c:v>1.3220000000000001</c:v>
                </c:pt>
                <c:pt idx="2" formatCode="0.00">
                  <c:v>1.2282389676460501</c:v>
                </c:pt>
                <c:pt idx="3">
                  <c:v>0.73</c:v>
                </c:pt>
                <c:pt idx="4">
                  <c:v>0.92</c:v>
                </c:pt>
                <c:pt idx="5">
                  <c:v>0.97</c:v>
                </c:pt>
                <c:pt idx="6">
                  <c:v>1.3</c:v>
                </c:pt>
                <c:pt idx="7">
                  <c:v>0.94799999999999995</c:v>
                </c:pt>
                <c:pt idx="8">
                  <c:v>1.22</c:v>
                </c:pt>
                <c:pt idx="9">
                  <c:v>1.0980000000000001</c:v>
                </c:pt>
                <c:pt idx="10">
                  <c:v>0.89</c:v>
                </c:pt>
                <c:pt idx="11">
                  <c:v>1.36</c:v>
                </c:pt>
                <c:pt idx="12">
                  <c:v>1.4650000000000001</c:v>
                </c:pt>
                <c:pt idx="13">
                  <c:v>1.1200000000000001</c:v>
                </c:pt>
                <c:pt idx="14">
                  <c:v>1.32</c:v>
                </c:pt>
                <c:pt idx="15">
                  <c:v>1.1000000000000001</c:v>
                </c:pt>
                <c:pt idx="16">
                  <c:v>1.3</c:v>
                </c:pt>
                <c:pt idx="17" formatCode="0.00">
                  <c:v>0.90079817292496134</c:v>
                </c:pt>
                <c:pt idx="18">
                  <c:v>1.23</c:v>
                </c:pt>
                <c:pt idx="19">
                  <c:v>1.33</c:v>
                </c:pt>
                <c:pt idx="20">
                  <c:v>0.95299999999999996</c:v>
                </c:pt>
                <c:pt idx="21">
                  <c:v>0.875</c:v>
                </c:pt>
                <c:pt idx="22">
                  <c:v>1.43</c:v>
                </c:pt>
                <c:pt idx="23">
                  <c:v>0.74</c:v>
                </c:pt>
                <c:pt idx="24">
                  <c:v>1.2</c:v>
                </c:pt>
                <c:pt idx="25">
                  <c:v>0.76</c:v>
                </c:pt>
                <c:pt idx="26">
                  <c:v>2.09</c:v>
                </c:pt>
                <c:pt idx="27">
                  <c:v>0.96</c:v>
                </c:pt>
                <c:pt idx="28">
                  <c:v>1.254</c:v>
                </c:pt>
                <c:pt idx="29">
                  <c:v>0.93</c:v>
                </c:pt>
                <c:pt idx="30">
                  <c:v>1.1200000000000001</c:v>
                </c:pt>
                <c:pt idx="31">
                  <c:v>0.95</c:v>
                </c:pt>
                <c:pt idx="32">
                  <c:v>0.9</c:v>
                </c:pt>
                <c:pt idx="33">
                  <c:v>0.61599999999999999</c:v>
                </c:pt>
                <c:pt idx="34">
                  <c:v>1.53</c:v>
                </c:pt>
                <c:pt idx="35">
                  <c:v>1.1379999999999999</c:v>
                </c:pt>
                <c:pt idx="36">
                  <c:v>1.014</c:v>
                </c:pt>
                <c:pt idx="37">
                  <c:v>0.879</c:v>
                </c:pt>
                <c:pt idx="38">
                  <c:v>1.25</c:v>
                </c:pt>
                <c:pt idx="39">
                  <c:v>0.77</c:v>
                </c:pt>
                <c:pt idx="40">
                  <c:v>1</c:v>
                </c:pt>
                <c:pt idx="41">
                  <c:v>0.98</c:v>
                </c:pt>
                <c:pt idx="42" formatCode="0.00">
                  <c:v>1.0997813936724636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'!$J$3:$J$47</c:f>
            </c:numRef>
          </c:val>
          <c:extLst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'!$K$3:$K$47</c:f>
              <c:numCache>
                <c:formatCode>General</c:formatCode>
                <c:ptCount val="45"/>
                <c:pt idx="0">
                  <c:v>0</c:v>
                </c:pt>
                <c:pt idx="1">
                  <c:v>1.579</c:v>
                </c:pt>
                <c:pt idx="2" formatCode="0.00">
                  <c:v>1.49517511212902</c:v>
                </c:pt>
                <c:pt idx="3">
                  <c:v>0.59</c:v>
                </c:pt>
                <c:pt idx="4">
                  <c:v>1.42</c:v>
                </c:pt>
                <c:pt idx="5">
                  <c:v>1.55</c:v>
                </c:pt>
                <c:pt idx="6">
                  <c:v>1.95</c:v>
                </c:pt>
                <c:pt idx="7">
                  <c:v>1.1299999999999999</c:v>
                </c:pt>
                <c:pt idx="8">
                  <c:v>0.72299999999999998</c:v>
                </c:pt>
                <c:pt idx="9">
                  <c:v>1.84</c:v>
                </c:pt>
                <c:pt idx="10">
                  <c:v>1.99</c:v>
                </c:pt>
                <c:pt idx="11">
                  <c:v>1.5649999999999999</c:v>
                </c:pt>
                <c:pt idx="12">
                  <c:v>2.1</c:v>
                </c:pt>
                <c:pt idx="13">
                  <c:v>1.37</c:v>
                </c:pt>
                <c:pt idx="14">
                  <c:v>1.81</c:v>
                </c:pt>
                <c:pt idx="15">
                  <c:v>2.09</c:v>
                </c:pt>
                <c:pt idx="16">
                  <c:v>2.34</c:v>
                </c:pt>
                <c:pt idx="17" formatCode="0.00">
                  <c:v>1.7049003324221454</c:v>
                </c:pt>
                <c:pt idx="18">
                  <c:v>1.95</c:v>
                </c:pt>
                <c:pt idx="19">
                  <c:v>1.67</c:v>
                </c:pt>
                <c:pt idx="20">
                  <c:v>2.5049999999999999</c:v>
                </c:pt>
                <c:pt idx="21">
                  <c:v>1.375</c:v>
                </c:pt>
                <c:pt idx="22">
                  <c:v>1.5</c:v>
                </c:pt>
                <c:pt idx="23">
                  <c:v>1.49</c:v>
                </c:pt>
                <c:pt idx="24">
                  <c:v>1.1499999999999999</c:v>
                </c:pt>
                <c:pt idx="25">
                  <c:v>1.1399999999999999</c:v>
                </c:pt>
                <c:pt idx="26">
                  <c:v>2.11</c:v>
                </c:pt>
                <c:pt idx="27">
                  <c:v>1.28</c:v>
                </c:pt>
                <c:pt idx="28">
                  <c:v>1.3129999999999999</c:v>
                </c:pt>
                <c:pt idx="29">
                  <c:v>0.83</c:v>
                </c:pt>
                <c:pt idx="30">
                  <c:v>1.69</c:v>
                </c:pt>
                <c:pt idx="31">
                  <c:v>0.78</c:v>
                </c:pt>
                <c:pt idx="32">
                  <c:v>1.18</c:v>
                </c:pt>
                <c:pt idx="33">
                  <c:v>1.08</c:v>
                </c:pt>
                <c:pt idx="34">
                  <c:v>1.6</c:v>
                </c:pt>
                <c:pt idx="35">
                  <c:v>1.357</c:v>
                </c:pt>
                <c:pt idx="36">
                  <c:v>1.6</c:v>
                </c:pt>
                <c:pt idx="37">
                  <c:v>1.915</c:v>
                </c:pt>
                <c:pt idx="38">
                  <c:v>1.95</c:v>
                </c:pt>
                <c:pt idx="39">
                  <c:v>1.08</c:v>
                </c:pt>
                <c:pt idx="40">
                  <c:v>1.5</c:v>
                </c:pt>
                <c:pt idx="41">
                  <c:v>1.54</c:v>
                </c:pt>
                <c:pt idx="42" formatCode="0.00">
                  <c:v>1.5324896449890528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85160"/>
        <c:axId val="421892216"/>
      </c:barChart>
      <c:catAx>
        <c:axId val="421885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92216"/>
        <c:crosses val="autoZero"/>
        <c:auto val="1"/>
        <c:lblAlgn val="ctr"/>
        <c:lblOffset val="100"/>
        <c:noMultiLvlLbl val="0"/>
      </c:catAx>
      <c:valAx>
        <c:axId val="421892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85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2'!$AC$3:$AC$47</c:f>
            </c:numRef>
          </c:val>
          <c:extLst>
            <c:ext xmlns:c16="http://schemas.microsoft.com/office/drawing/2014/chart" uri="{C3380CC4-5D6E-409C-BE32-E72D297353CC}">
              <c16:uniqueId val="{00000000-F83D-406D-93CA-A6205E49326B}"/>
            </c:ext>
          </c:extLst>
        </c:ser>
        <c:ser>
          <c:idx val="1"/>
          <c:order val="1"/>
          <c:tx>
            <c:strRef>
              <c:f>'graafik 2'!$AD$1:$AD$2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2'!$AD$3:$AD$47</c:f>
            </c:numRef>
          </c:val>
          <c:extLst>
            <c:ext xmlns:c16="http://schemas.microsoft.com/office/drawing/2014/chart" uri="{C3380CC4-5D6E-409C-BE32-E72D297353CC}">
              <c16:uniqueId val="{00000001-F83D-406D-93CA-A6205E49326B}"/>
            </c:ext>
          </c:extLst>
        </c:ser>
        <c:ser>
          <c:idx val="2"/>
          <c:order val="2"/>
          <c:tx>
            <c:strRef>
              <c:f>'graafik 2'!$AE$1:$AE$2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2'!$AE$3:$AE$47</c:f>
            </c:numRef>
          </c:val>
          <c:extLst>
            <c:ext xmlns:c16="http://schemas.microsoft.com/office/drawing/2014/chart" uri="{C3380CC4-5D6E-409C-BE32-E72D297353CC}">
              <c16:uniqueId val="{00000002-F83D-406D-93CA-A6205E49326B}"/>
            </c:ext>
          </c:extLst>
        </c:ser>
        <c:ser>
          <c:idx val="3"/>
          <c:order val="3"/>
          <c:tx>
            <c:strRef>
              <c:f>'graafik 2'!$AF$1:$AF$2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2'!$AF$3:$AF$47</c:f>
            </c:numRef>
          </c:val>
          <c:extLst>
            <c:ext xmlns:c16="http://schemas.microsoft.com/office/drawing/2014/chart" uri="{C3380CC4-5D6E-409C-BE32-E72D297353CC}">
              <c16:uniqueId val="{00000003-F83D-406D-93CA-A6205E49326B}"/>
            </c:ext>
          </c:extLst>
        </c:ser>
        <c:ser>
          <c:idx val="4"/>
          <c:order val="4"/>
          <c:tx>
            <c:strRef>
              <c:f>'graafik 2'!$AG$1:$AG$2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2'!$AG$3:$AG$47</c:f>
            </c:numRef>
          </c:val>
          <c:extLst>
            <c:ext xmlns:c16="http://schemas.microsoft.com/office/drawing/2014/chart" uri="{C3380CC4-5D6E-409C-BE32-E72D297353CC}">
              <c16:uniqueId val="{00000004-F83D-406D-93CA-A6205E49326B}"/>
            </c:ext>
          </c:extLst>
        </c:ser>
        <c:ser>
          <c:idx val="5"/>
          <c:order val="5"/>
          <c:tx>
            <c:strRef>
              <c:f>'graafik 2'!$AH$1:$AH$2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2'!$AH$3:$AH$47</c:f>
            </c:numRef>
          </c:val>
          <c:extLst>
            <c:ext xmlns:c16="http://schemas.microsoft.com/office/drawing/2014/chart" uri="{C3380CC4-5D6E-409C-BE32-E72D297353CC}">
              <c16:uniqueId val="{00000005-F83D-406D-93CA-A6205E49326B}"/>
            </c:ext>
          </c:extLst>
        </c:ser>
        <c:ser>
          <c:idx val="6"/>
          <c:order val="6"/>
          <c:tx>
            <c:strRef>
              <c:f>'graafik 2'!$AI$1:$AI$2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2'!$AI$3:$AI$47</c:f>
            </c:numRef>
          </c:val>
          <c:extLst>
            <c:ext xmlns:c16="http://schemas.microsoft.com/office/drawing/2014/chart" uri="{C3380CC4-5D6E-409C-BE32-E72D297353CC}">
              <c16:uniqueId val="{00000006-F83D-406D-93CA-A6205E49326B}"/>
            </c:ext>
          </c:extLst>
        </c:ser>
        <c:ser>
          <c:idx val="7"/>
          <c:order val="7"/>
          <c:tx>
            <c:strRef>
              <c:f>'graafik 2'!$AJ$1:$AJ$2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2'!$AJ$3:$AJ$47</c:f>
            </c:numRef>
          </c:val>
          <c:extLst>
            <c:ext xmlns:c16="http://schemas.microsoft.com/office/drawing/2014/chart" uri="{C3380CC4-5D6E-409C-BE32-E72D297353CC}">
              <c16:uniqueId val="{00000007-F83D-406D-93CA-A6205E49326B}"/>
            </c:ext>
          </c:extLst>
        </c:ser>
        <c:ser>
          <c:idx val="8"/>
          <c:order val="8"/>
          <c:tx>
            <c:strRef>
              <c:f>'graafik 2'!$AK$1:$AK$2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2'!$AK$3:$AK$47</c:f>
            </c:numRef>
          </c:val>
          <c:extLst>
            <c:ext xmlns:c16="http://schemas.microsoft.com/office/drawing/2014/chart" uri="{C3380CC4-5D6E-409C-BE32-E72D297353CC}">
              <c16:uniqueId val="{00000008-F83D-406D-93CA-A6205E49326B}"/>
            </c:ext>
          </c:extLst>
        </c:ser>
        <c:ser>
          <c:idx val="9"/>
          <c:order val="9"/>
          <c:tx>
            <c:strRef>
              <c:f>'graafik 2'!$AL$1:$AL$2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2'!$AL$3:$AL$47</c:f>
            </c:numRef>
          </c:val>
          <c:extLst>
            <c:ext xmlns:c16="http://schemas.microsoft.com/office/drawing/2014/chart" uri="{C3380CC4-5D6E-409C-BE32-E72D297353CC}">
              <c16:uniqueId val="{00000009-F83D-406D-93CA-A6205E49326B}"/>
            </c:ext>
          </c:extLst>
        </c:ser>
        <c:ser>
          <c:idx val="10"/>
          <c:order val="10"/>
          <c:tx>
            <c:strRef>
              <c:f>'graafik 2'!$AM$1:$AM$2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2'!$AM$3:$AM$47</c:f>
            </c:numRef>
          </c:val>
          <c:extLst>
            <c:ext xmlns:c16="http://schemas.microsoft.com/office/drawing/2014/chart" uri="{C3380CC4-5D6E-409C-BE32-E72D297353CC}">
              <c16:uniqueId val="{0000000A-F83D-406D-93CA-A6205E49326B}"/>
            </c:ext>
          </c:extLst>
        </c:ser>
        <c:ser>
          <c:idx val="11"/>
          <c:order val="11"/>
          <c:tx>
            <c:strRef>
              <c:f>'graafik 2'!$AN$1:$AN$2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2'!$AN$3:$AN$47</c:f>
            </c:numRef>
          </c:val>
          <c:extLst>
            <c:ext xmlns:c16="http://schemas.microsoft.com/office/drawing/2014/chart" uri="{C3380CC4-5D6E-409C-BE32-E72D297353CC}">
              <c16:uniqueId val="{0000000B-F83D-406D-93CA-A6205E49326B}"/>
            </c:ext>
          </c:extLst>
        </c:ser>
        <c:ser>
          <c:idx val="12"/>
          <c:order val="12"/>
          <c:tx>
            <c:strRef>
              <c:f>'graafik 2'!$AO$1:$AO$2</c:f>
              <c:strCache>
                <c:ptCount val="2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2'!$AO$3:$AO$47</c:f>
              <c:numCache>
                <c:formatCode>0.00</c:formatCode>
                <c:ptCount val="45"/>
                <c:pt idx="1">
                  <c:v>2.9014416501408782</c:v>
                </c:pt>
                <c:pt idx="2">
                  <c:v>2.7234140797750701</c:v>
                </c:pt>
                <c:pt idx="3">
                  <c:v>1.5402501101531589</c:v>
                </c:pt>
                <c:pt idx="4">
                  <c:v>2.3429842567474455</c:v>
                </c:pt>
                <c:pt idx="5">
                  <c:v>2.8533550340605469</c:v>
                </c:pt>
                <c:pt idx="6">
                  <c:v>3.1871151590014701</c:v>
                </c:pt>
                <c:pt idx="7">
                  <c:v>2.077514328015972</c:v>
                </c:pt>
                <c:pt idx="8">
                  <c:v>1.9431625140146114</c:v>
                </c:pt>
                <c:pt idx="9">
                  <c:v>2.9406919356997898</c:v>
                </c:pt>
                <c:pt idx="10">
                  <c:v>3.1474772363861501</c:v>
                </c:pt>
                <c:pt idx="11">
                  <c:v>2.9250143281340759</c:v>
                </c:pt>
                <c:pt idx="12">
                  <c:v>3.3969979826023939</c:v>
                </c:pt>
                <c:pt idx="13">
                  <c:v>2.4900315702093225</c:v>
                </c:pt>
                <c:pt idx="14">
                  <c:v>3.2784507870958746</c:v>
                </c:pt>
                <c:pt idx="15">
                  <c:v>3.1916545891219945</c:v>
                </c:pt>
                <c:pt idx="16">
                  <c:v>3.6397877715773541</c:v>
                </c:pt>
                <c:pt idx="17">
                  <c:v>2.6097841708115905</c:v>
                </c:pt>
                <c:pt idx="18">
                  <c:v>0</c:v>
                </c:pt>
                <c:pt idx="19">
                  <c:v>3.000000008700634</c:v>
                </c:pt>
                <c:pt idx="20">
                  <c:v>3.4581760614630301</c:v>
                </c:pt>
                <c:pt idx="21">
                  <c:v>2.2507873001697871</c:v>
                </c:pt>
                <c:pt idx="22">
                  <c:v>3.1101811847577254</c:v>
                </c:pt>
                <c:pt idx="23">
                  <c:v>2.2330601475206113</c:v>
                </c:pt>
                <c:pt idx="24">
                  <c:v>2.3499987770882176</c:v>
                </c:pt>
                <c:pt idx="25">
                  <c:v>1.8999904514880619</c:v>
                </c:pt>
                <c:pt idx="26">
                  <c:v>0</c:v>
                </c:pt>
                <c:pt idx="27">
                  <c:v>2.258377492915463</c:v>
                </c:pt>
                <c:pt idx="28">
                  <c:v>2.5664893448190531</c:v>
                </c:pt>
                <c:pt idx="29">
                  <c:v>1.760078062582112</c:v>
                </c:pt>
                <c:pt idx="30">
                  <c:v>2.8099973342356614</c:v>
                </c:pt>
                <c:pt idx="31">
                  <c:v>1.7300605039272163</c:v>
                </c:pt>
                <c:pt idx="32">
                  <c:v>2.0800001607277698</c:v>
                </c:pt>
                <c:pt idx="33">
                  <c:v>1.7021205924418974</c:v>
                </c:pt>
                <c:pt idx="34">
                  <c:v>3.2341784843869141</c:v>
                </c:pt>
                <c:pt idx="35">
                  <c:v>2.4954324207585006</c:v>
                </c:pt>
                <c:pt idx="36">
                  <c:v>2.6137355239386029</c:v>
                </c:pt>
                <c:pt idx="37">
                  <c:v>2.7942121831468434</c:v>
                </c:pt>
                <c:pt idx="38">
                  <c:v>3.2070469060035842</c:v>
                </c:pt>
                <c:pt idx="39">
                  <c:v>1.849999305553649</c:v>
                </c:pt>
                <c:pt idx="40">
                  <c:v>2.297839972198942</c:v>
                </c:pt>
                <c:pt idx="41">
                  <c:v>2.5369357912528572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3D-406D-93CA-A6205E49326B}"/>
            </c:ext>
          </c:extLst>
        </c:ser>
        <c:ser>
          <c:idx val="13"/>
          <c:order val="13"/>
          <c:tx>
            <c:strRef>
              <c:f>'graafik 2'!$AP$1:$AP$2</c:f>
              <c:strCache>
                <c:ptCount val="2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2'!$AP$3:$AP$47</c:f>
              <c:numCache>
                <c:formatCode>0.00</c:formatCode>
                <c:ptCount val="45"/>
                <c:pt idx="1">
                  <c:v>3.0692341386892203</c:v>
                </c:pt>
                <c:pt idx="2">
                  <c:v>2.8924340365853274</c:v>
                </c:pt>
                <c:pt idx="3">
                  <c:v>0</c:v>
                </c:pt>
                <c:pt idx="4">
                  <c:v>2.6050003608778987</c:v>
                </c:pt>
                <c:pt idx="5">
                  <c:v>2.6513214837469419</c:v>
                </c:pt>
                <c:pt idx="6">
                  <c:v>3.2237032081130534</c:v>
                </c:pt>
                <c:pt idx="7">
                  <c:v>2.0775044991001796</c:v>
                </c:pt>
                <c:pt idx="8">
                  <c:v>2.2965008791922972</c:v>
                </c:pt>
                <c:pt idx="9">
                  <c:v>2.8643049344367548</c:v>
                </c:pt>
                <c:pt idx="10">
                  <c:v>2.8799801830972722</c:v>
                </c:pt>
                <c:pt idx="11">
                  <c:v>3.0162735719982106</c:v>
                </c:pt>
                <c:pt idx="12">
                  <c:v>3.4467379074551134</c:v>
                </c:pt>
                <c:pt idx="13">
                  <c:v>3.200945347119645</c:v>
                </c:pt>
                <c:pt idx="14">
                  <c:v>4.6436256755607612</c:v>
                </c:pt>
                <c:pt idx="15">
                  <c:v>3.5601266455935257</c:v>
                </c:pt>
                <c:pt idx="16">
                  <c:v>3.6479364487582275</c:v>
                </c:pt>
                <c:pt idx="17">
                  <c:v>3.1176501461563921</c:v>
                </c:pt>
                <c:pt idx="18">
                  <c:v>0</c:v>
                </c:pt>
                <c:pt idx="19">
                  <c:v>3.0000018552512042</c:v>
                </c:pt>
                <c:pt idx="20">
                  <c:v>3.9179145284749053</c:v>
                </c:pt>
                <c:pt idx="21">
                  <c:v>1.958284643408696</c:v>
                </c:pt>
                <c:pt idx="22">
                  <c:v>3.2231233614045021</c:v>
                </c:pt>
                <c:pt idx="23">
                  <c:v>2.0597713619359448</c:v>
                </c:pt>
                <c:pt idx="24">
                  <c:v>2.3499981083142245</c:v>
                </c:pt>
                <c:pt idx="25">
                  <c:v>1.8999976687779081</c:v>
                </c:pt>
                <c:pt idx="26">
                  <c:v>0</c:v>
                </c:pt>
                <c:pt idx="27">
                  <c:v>2.2651924135357424</c:v>
                </c:pt>
                <c:pt idx="28">
                  <c:v>3.4127371209046853</c:v>
                </c:pt>
                <c:pt idx="29">
                  <c:v>2.1771555842033079</c:v>
                </c:pt>
                <c:pt idx="30">
                  <c:v>4.2358849358361326</c:v>
                </c:pt>
                <c:pt idx="31">
                  <c:v>4.042319454101805</c:v>
                </c:pt>
                <c:pt idx="32">
                  <c:v>2.4199952895725145</c:v>
                </c:pt>
                <c:pt idx="33">
                  <c:v>2.208204480306633</c:v>
                </c:pt>
                <c:pt idx="34">
                  <c:v>3.7820685312013653</c:v>
                </c:pt>
                <c:pt idx="35">
                  <c:v>2.7139301153439832</c:v>
                </c:pt>
                <c:pt idx="36">
                  <c:v>2.6585666144272242</c:v>
                </c:pt>
                <c:pt idx="37">
                  <c:v>2.7941985530189162</c:v>
                </c:pt>
                <c:pt idx="38">
                  <c:v>3.6308809329884664</c:v>
                </c:pt>
                <c:pt idx="39">
                  <c:v>1.9936253108832571</c:v>
                </c:pt>
                <c:pt idx="40">
                  <c:v>2.2124296479453669</c:v>
                </c:pt>
                <c:pt idx="41">
                  <c:v>2.5443512703521041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3D-406D-93CA-A6205E49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7312"/>
        <c:axId val="421898096"/>
      </c:barChart>
      <c:catAx>
        <c:axId val="4218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1898096"/>
        <c:crosses val="autoZero"/>
        <c:auto val="1"/>
        <c:lblAlgn val="ctr"/>
        <c:lblOffset val="100"/>
        <c:noMultiLvlLbl val="0"/>
      </c:catAx>
      <c:valAx>
        <c:axId val="42189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97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31.12.2018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3'!$AC$3:$AC$47</c:f>
            </c:numRef>
          </c:val>
          <c:extLst>
            <c:ext xmlns:c16="http://schemas.microsoft.com/office/drawing/2014/chart" uri="{C3380CC4-5D6E-409C-BE32-E72D297353CC}">
              <c16:uniqueId val="{00000000-2978-4D02-B257-F7A569425087}"/>
            </c:ext>
          </c:extLst>
        </c:ser>
        <c:ser>
          <c:idx val="1"/>
          <c:order val="1"/>
          <c:tx>
            <c:strRef>
              <c:f>'graafik 3'!$AD$1:$AD$2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3'!$AD$3:$AD$47</c:f>
            </c:numRef>
          </c:val>
          <c:extLst>
            <c:ext xmlns:c16="http://schemas.microsoft.com/office/drawing/2014/chart" uri="{C3380CC4-5D6E-409C-BE32-E72D297353CC}">
              <c16:uniqueId val="{00000001-2978-4D02-B257-F7A569425087}"/>
            </c:ext>
          </c:extLst>
        </c:ser>
        <c:ser>
          <c:idx val="2"/>
          <c:order val="2"/>
          <c:tx>
            <c:strRef>
              <c:f>'graafik 3'!$AE$1:$AE$2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3'!$AE$3:$AE$47</c:f>
            </c:numRef>
          </c:val>
          <c:extLst>
            <c:ext xmlns:c16="http://schemas.microsoft.com/office/drawing/2014/chart" uri="{C3380CC4-5D6E-409C-BE32-E72D297353CC}">
              <c16:uniqueId val="{00000002-2978-4D02-B257-F7A569425087}"/>
            </c:ext>
          </c:extLst>
        </c:ser>
        <c:ser>
          <c:idx val="3"/>
          <c:order val="3"/>
          <c:tx>
            <c:strRef>
              <c:f>'graafik 3'!$AF$1:$AF$2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3'!$AF$3:$AF$47</c:f>
            </c:numRef>
          </c:val>
          <c:extLst>
            <c:ext xmlns:c16="http://schemas.microsoft.com/office/drawing/2014/chart" uri="{C3380CC4-5D6E-409C-BE32-E72D297353CC}">
              <c16:uniqueId val="{00000003-2978-4D02-B257-F7A569425087}"/>
            </c:ext>
          </c:extLst>
        </c:ser>
        <c:ser>
          <c:idx val="4"/>
          <c:order val="4"/>
          <c:tx>
            <c:strRef>
              <c:f>'graafik 3'!$AG$1:$AG$2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3'!$AG$3:$AG$47</c:f>
            </c:numRef>
          </c:val>
          <c:extLst>
            <c:ext xmlns:c16="http://schemas.microsoft.com/office/drawing/2014/chart" uri="{C3380CC4-5D6E-409C-BE32-E72D297353CC}">
              <c16:uniqueId val="{00000004-2978-4D02-B257-F7A569425087}"/>
            </c:ext>
          </c:extLst>
        </c:ser>
        <c:ser>
          <c:idx val="5"/>
          <c:order val="5"/>
          <c:tx>
            <c:strRef>
              <c:f>'graafik 3'!$AH$1:$AH$2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3'!$AH$3:$AH$47</c:f>
            </c:numRef>
          </c:val>
          <c:extLst>
            <c:ext xmlns:c16="http://schemas.microsoft.com/office/drawing/2014/chart" uri="{C3380CC4-5D6E-409C-BE32-E72D297353CC}">
              <c16:uniqueId val="{00000005-2978-4D02-B257-F7A569425087}"/>
            </c:ext>
          </c:extLst>
        </c:ser>
        <c:ser>
          <c:idx val="6"/>
          <c:order val="6"/>
          <c:tx>
            <c:strRef>
              <c:f>'graafik 3'!$AI$1:$AI$2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3'!$AI$3:$AI$47</c:f>
            </c:numRef>
          </c:val>
          <c:extLst>
            <c:ext xmlns:c16="http://schemas.microsoft.com/office/drawing/2014/chart" uri="{C3380CC4-5D6E-409C-BE32-E72D297353CC}">
              <c16:uniqueId val="{00000006-2978-4D02-B257-F7A569425087}"/>
            </c:ext>
          </c:extLst>
        </c:ser>
        <c:ser>
          <c:idx val="7"/>
          <c:order val="7"/>
          <c:tx>
            <c:strRef>
              <c:f>'graafik 3'!$AJ$1:$AJ$2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3'!$AJ$3:$AJ$47</c:f>
            </c:numRef>
          </c:val>
          <c:extLst>
            <c:ext xmlns:c16="http://schemas.microsoft.com/office/drawing/2014/chart" uri="{C3380CC4-5D6E-409C-BE32-E72D297353CC}">
              <c16:uniqueId val="{00000007-2978-4D02-B257-F7A569425087}"/>
            </c:ext>
          </c:extLst>
        </c:ser>
        <c:ser>
          <c:idx val="8"/>
          <c:order val="8"/>
          <c:tx>
            <c:strRef>
              <c:f>'graafik 3'!$AK$1:$AK$2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3'!$AK$3:$AK$47</c:f>
            </c:numRef>
          </c:val>
          <c:extLst>
            <c:ext xmlns:c16="http://schemas.microsoft.com/office/drawing/2014/chart" uri="{C3380CC4-5D6E-409C-BE32-E72D297353CC}">
              <c16:uniqueId val="{00000008-2978-4D02-B257-F7A569425087}"/>
            </c:ext>
          </c:extLst>
        </c:ser>
        <c:ser>
          <c:idx val="9"/>
          <c:order val="9"/>
          <c:tx>
            <c:strRef>
              <c:f>'graafik 3'!$AL$1:$AL$2</c:f>
              <c:strCache>
                <c:ptCount val="2"/>
                <c:pt idx="0">
                  <c:v>Hind koos abonenttasuga 1 m³ kohta € +KM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3'!$AL$3:$AL$47</c:f>
            </c:numRef>
          </c:val>
          <c:extLst>
            <c:ext xmlns:c16="http://schemas.microsoft.com/office/drawing/2014/chart" uri="{C3380CC4-5D6E-409C-BE32-E72D297353CC}">
              <c16:uniqueId val="{00000009-2978-4D02-B257-F7A569425087}"/>
            </c:ext>
          </c:extLst>
        </c:ser>
        <c:ser>
          <c:idx val="10"/>
          <c:order val="10"/>
          <c:tx>
            <c:strRef>
              <c:f>'graafik 3'!$AM$1:$AM$2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3'!$AM$3:$AM$47</c:f>
            </c:numRef>
          </c:val>
          <c:extLst>
            <c:ext xmlns:c16="http://schemas.microsoft.com/office/drawing/2014/chart" uri="{C3380CC4-5D6E-409C-BE32-E72D297353CC}">
              <c16:uniqueId val="{0000000A-2978-4D02-B257-F7A569425087}"/>
            </c:ext>
          </c:extLst>
        </c:ser>
        <c:ser>
          <c:idx val="11"/>
          <c:order val="11"/>
          <c:tx>
            <c:strRef>
              <c:f>'graafik 3'!$AN$1:$AN$2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3'!$AN$3:$AN$47</c:f>
            </c:numRef>
          </c:val>
          <c:extLst>
            <c:ext xmlns:c16="http://schemas.microsoft.com/office/drawing/2014/chart" uri="{C3380CC4-5D6E-409C-BE32-E72D297353CC}">
              <c16:uniqueId val="{0000000B-2978-4D02-B257-F7A569425087}"/>
            </c:ext>
          </c:extLst>
        </c:ser>
        <c:ser>
          <c:idx val="12"/>
          <c:order val="12"/>
          <c:tx>
            <c:strRef>
              <c:f>'graafik 3'!$AO$1:$AO$2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3'!$AO$3:$AO$47</c:f>
            </c:numRef>
          </c:val>
          <c:extLst>
            <c:ext xmlns:c16="http://schemas.microsoft.com/office/drawing/2014/chart" uri="{C3380CC4-5D6E-409C-BE32-E72D297353CC}">
              <c16:uniqueId val="{0000000C-2978-4D02-B257-F7A569425087}"/>
            </c:ext>
          </c:extLst>
        </c:ser>
        <c:ser>
          <c:idx val="13"/>
          <c:order val="13"/>
          <c:tx>
            <c:strRef>
              <c:f>'graafik 3'!$AP$1:$AP$2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3'!$AP$3:$AP$47</c:f>
            </c:numRef>
          </c:val>
          <c:extLst>
            <c:ext xmlns:c16="http://schemas.microsoft.com/office/drawing/2014/chart" uri="{C3380CC4-5D6E-409C-BE32-E72D297353CC}">
              <c16:uniqueId val="{0000000D-2978-4D02-B257-F7A569425087}"/>
            </c:ext>
          </c:extLst>
        </c:ser>
        <c:ser>
          <c:idx val="14"/>
          <c:order val="14"/>
          <c:tx>
            <c:strRef>
              <c:f>'graafik 3'!$AQ$1:$AQ$2</c:f>
              <c:strCache>
                <c:ptCount val="2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3'!$AQ$3:$AQ$47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3.4811999999999999</c:v>
                </c:pt>
                <c:pt idx="2">
                  <c:v>3.2680968957300842</c:v>
                </c:pt>
                <c:pt idx="3">
                  <c:v>1.7830554382433594</c:v>
                </c:pt>
                <c:pt idx="4">
                  <c:v>2.8115811080969344</c:v>
                </c:pt>
                <c:pt idx="5">
                  <c:v>3.4239576706239614</c:v>
                </c:pt>
                <c:pt idx="6">
                  <c:v>3.9</c:v>
                </c:pt>
                <c:pt idx="7">
                  <c:v>2.4935999999999998</c:v>
                </c:pt>
                <c:pt idx="8">
                  <c:v>2.3315999999999999</c:v>
                </c:pt>
                <c:pt idx="9">
                  <c:v>3.5256000000000003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2.9880000000000004</c:v>
                </c:pt>
                <c:pt idx="14">
                  <c:v>3.9341367154714169</c:v>
                </c:pt>
                <c:pt idx="15">
                  <c:v>3.8279999999999994</c:v>
                </c:pt>
                <c:pt idx="16">
                  <c:v>4.3680000000000003</c:v>
                </c:pt>
                <c:pt idx="17">
                  <c:v>3.1317410049739083</c:v>
                </c:pt>
                <c:pt idx="18">
                  <c:v>3.8159999999999998</c:v>
                </c:pt>
                <c:pt idx="19">
                  <c:v>3.6</c:v>
                </c:pt>
                <c:pt idx="20">
                  <c:v>4.1496665493426397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2.2799999999999998</c:v>
                </c:pt>
                <c:pt idx="26">
                  <c:v>0</c:v>
                </c:pt>
                <c:pt idx="27">
                  <c:v>2.7004685138539042</c:v>
                </c:pt>
                <c:pt idx="28">
                  <c:v>3.0804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2.0759999999999996</c:v>
                </c:pt>
                <c:pt idx="32">
                  <c:v>2.496</c:v>
                </c:pt>
                <c:pt idx="33">
                  <c:v>2.0352000000000001</c:v>
                </c:pt>
                <c:pt idx="34">
                  <c:v>3.8810427737466915</c:v>
                </c:pt>
                <c:pt idx="35">
                  <c:v>2.9939999999999998</c:v>
                </c:pt>
                <c:pt idx="36">
                  <c:v>3.1368</c:v>
                </c:pt>
                <c:pt idx="37">
                  <c:v>3.3528000000000002</c:v>
                </c:pt>
                <c:pt idx="38">
                  <c:v>3.84</c:v>
                </c:pt>
                <c:pt idx="39">
                  <c:v>2.2199999999999998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78-4D02-B257-F7A569425087}"/>
            </c:ext>
          </c:extLst>
        </c:ser>
        <c:ser>
          <c:idx val="15"/>
          <c:order val="15"/>
          <c:tx>
            <c:strRef>
              <c:f>'graafik 3'!$AR$1:$AR$2</c:f>
              <c:strCache>
                <c:ptCount val="2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3'!$AR$3:$AR$47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3.6819999999999999</c:v>
                </c:pt>
                <c:pt idx="2">
                  <c:v>3.470920843902392</c:v>
                </c:pt>
                <c:pt idx="3">
                  <c:v>0</c:v>
                </c:pt>
                <c:pt idx="4">
                  <c:v>3.1260004330534787</c:v>
                </c:pt>
                <c:pt idx="5">
                  <c:v>3.181408825684084</c:v>
                </c:pt>
                <c:pt idx="6">
                  <c:v>4.0919999999999996</c:v>
                </c:pt>
                <c:pt idx="7">
                  <c:v>2.5</c:v>
                </c:pt>
                <c:pt idx="8">
                  <c:v>2.7563679380779864</c:v>
                </c:pt>
                <c:pt idx="9">
                  <c:v>3.4727999999999994</c:v>
                </c:pt>
                <c:pt idx="10">
                  <c:v>3.456</c:v>
                </c:pt>
                <c:pt idx="11">
                  <c:v>3.6179999999999999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5.5721889235195396</c:v>
                </c:pt>
                <c:pt idx="15">
                  <c:v>4.4039999999999999</c:v>
                </c:pt>
                <c:pt idx="16">
                  <c:v>4.3680000000000003</c:v>
                </c:pt>
                <c:pt idx="17">
                  <c:v>3.741180175387671</c:v>
                </c:pt>
                <c:pt idx="18">
                  <c:v>3.8159999999999998</c:v>
                </c:pt>
                <c:pt idx="19">
                  <c:v>3.6</c:v>
                </c:pt>
                <c:pt idx="20">
                  <c:v>4.7004000000000001</c:v>
                </c:pt>
                <c:pt idx="21">
                  <c:v>2.7</c:v>
                </c:pt>
                <c:pt idx="22">
                  <c:v>3.7800000000000002</c:v>
                </c:pt>
                <c:pt idx="23">
                  <c:v>3.1679999999999997</c:v>
                </c:pt>
                <c:pt idx="24">
                  <c:v>2.82</c:v>
                </c:pt>
                <c:pt idx="25">
                  <c:v>2.2800000000000002</c:v>
                </c:pt>
                <c:pt idx="26">
                  <c:v>0</c:v>
                </c:pt>
                <c:pt idx="27">
                  <c:v>2.6939164188448892</c:v>
                </c:pt>
                <c:pt idx="28">
                  <c:v>4.0944000000000003</c:v>
                </c:pt>
                <c:pt idx="29">
                  <c:v>2.4239999999999999</c:v>
                </c:pt>
                <c:pt idx="30">
                  <c:v>5.6280000000000001</c:v>
                </c:pt>
                <c:pt idx="31">
                  <c:v>4.84</c:v>
                </c:pt>
                <c:pt idx="32">
                  <c:v>2.9039999999999999</c:v>
                </c:pt>
                <c:pt idx="33">
                  <c:v>2.0350000000000001</c:v>
                </c:pt>
                <c:pt idx="34">
                  <c:v>3.9005138193684235</c:v>
                </c:pt>
                <c:pt idx="35">
                  <c:v>3.258</c:v>
                </c:pt>
                <c:pt idx="36">
                  <c:v>3.1890000000000001</c:v>
                </c:pt>
                <c:pt idx="37">
                  <c:v>3.3529999999999998</c:v>
                </c:pt>
                <c:pt idx="38">
                  <c:v>4.4000000000000004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978-4D02-B257-F7A569425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6920"/>
        <c:axId val="421898880"/>
      </c:barChart>
      <c:catAx>
        <c:axId val="42189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98880"/>
        <c:crosses val="autoZero"/>
        <c:auto val="1"/>
        <c:lblAlgn val="ctr"/>
        <c:lblOffset val="100"/>
        <c:noMultiLvlLbl val="0"/>
      </c:catAx>
      <c:valAx>
        <c:axId val="42189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96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31.12.2018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+km'!$B$3:$B$47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+km'!$C$3:$C$47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+km'!$D$3:$D$47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+km'!$E$3:$E$47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+km'!$F$3:$F$47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+km'!$G$3:$G$47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+km'!$H$3:$H$47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+km'!$I$3:$I$47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+km'!$J$3:$J$47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+km'!$K$3:$K$47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+km'!$L$3:$L$47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1.5860000000000001</c:v>
                </c:pt>
                <c:pt idx="2">
                  <c:v>1.4738867611752602</c:v>
                </c:pt>
                <c:pt idx="3">
                  <c:v>0.78600000000000003</c:v>
                </c:pt>
                <c:pt idx="4">
                  <c:v>1.109478025482878</c:v>
                </c:pt>
                <c:pt idx="5">
                  <c:v>1.1639999999999999</c:v>
                </c:pt>
                <c:pt idx="6">
                  <c:v>1.56</c:v>
                </c:pt>
                <c:pt idx="7">
                  <c:v>1.1399999999999999</c:v>
                </c:pt>
                <c:pt idx="8">
                  <c:v>1.464</c:v>
                </c:pt>
                <c:pt idx="9">
                  <c:v>1.3176000000000001</c:v>
                </c:pt>
                <c:pt idx="10">
                  <c:v>1.0680000000000001</c:v>
                </c:pt>
                <c:pt idx="11">
                  <c:v>1.6319999999999999</c:v>
                </c:pt>
                <c:pt idx="12">
                  <c:v>1.758</c:v>
                </c:pt>
                <c:pt idx="13">
                  <c:v>1.3440000000000001</c:v>
                </c:pt>
                <c:pt idx="14">
                  <c:v>1.5840000000000001</c:v>
                </c:pt>
                <c:pt idx="15">
                  <c:v>1.32</c:v>
                </c:pt>
                <c:pt idx="16">
                  <c:v>1.56</c:v>
                </c:pt>
                <c:pt idx="17">
                  <c:v>1.0809578075099535</c:v>
                </c:pt>
                <c:pt idx="18">
                  <c:v>1.476</c:v>
                </c:pt>
                <c:pt idx="19">
                  <c:v>1.5960000000000001</c:v>
                </c:pt>
                <c:pt idx="20">
                  <c:v>1.1435999999999999</c:v>
                </c:pt>
                <c:pt idx="21">
                  <c:v>1.05</c:v>
                </c:pt>
                <c:pt idx="22">
                  <c:v>1.716</c:v>
                </c:pt>
                <c:pt idx="23">
                  <c:v>0.88800000000000001</c:v>
                </c:pt>
                <c:pt idx="24">
                  <c:v>1.44</c:v>
                </c:pt>
                <c:pt idx="25">
                  <c:v>0.91200000000000003</c:v>
                </c:pt>
                <c:pt idx="26">
                  <c:v>2.5099999999999998</c:v>
                </c:pt>
                <c:pt idx="27">
                  <c:v>1.1519999999999999</c:v>
                </c:pt>
                <c:pt idx="28">
                  <c:v>1.5047999999999999</c:v>
                </c:pt>
                <c:pt idx="29">
                  <c:v>1.1160000000000001</c:v>
                </c:pt>
                <c:pt idx="30">
                  <c:v>1.3440000000000001</c:v>
                </c:pt>
                <c:pt idx="31">
                  <c:v>1.1399999999999999</c:v>
                </c:pt>
                <c:pt idx="32">
                  <c:v>1.08</c:v>
                </c:pt>
                <c:pt idx="33">
                  <c:v>0.73899999999999999</c:v>
                </c:pt>
                <c:pt idx="34">
                  <c:v>1.8359999999999999</c:v>
                </c:pt>
                <c:pt idx="35">
                  <c:v>1.365</c:v>
                </c:pt>
                <c:pt idx="36">
                  <c:v>1.2170000000000001</c:v>
                </c:pt>
                <c:pt idx="37">
                  <c:v>1.0549999999999999</c:v>
                </c:pt>
                <c:pt idx="38">
                  <c:v>1.5</c:v>
                </c:pt>
                <c:pt idx="39">
                  <c:v>0.92400000000000004</c:v>
                </c:pt>
                <c:pt idx="40">
                  <c:v>1.2</c:v>
                </c:pt>
                <c:pt idx="41">
                  <c:v>1.1759999999999999</c:v>
                </c:pt>
                <c:pt idx="42">
                  <c:v>1.3177639657114169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+km'!$N$3:$N$47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+km'!$O$3:$O$47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1.895</c:v>
                </c:pt>
                <c:pt idx="2">
                  <c:v>1.794210134554824</c:v>
                </c:pt>
                <c:pt idx="3">
                  <c:v>0.70799999999999996</c:v>
                </c:pt>
                <c:pt idx="4">
                  <c:v>1.7021030826140564</c:v>
                </c:pt>
                <c:pt idx="5">
                  <c:v>1.8599999999999999</c:v>
                </c:pt>
                <c:pt idx="6">
                  <c:v>2.34</c:v>
                </c:pt>
                <c:pt idx="7">
                  <c:v>1.36</c:v>
                </c:pt>
                <c:pt idx="8">
                  <c:v>0.86759999999999993</c:v>
                </c:pt>
                <c:pt idx="9">
                  <c:v>2.2080000000000002</c:v>
                </c:pt>
                <c:pt idx="10">
                  <c:v>2.3879999999999999</c:v>
                </c:pt>
                <c:pt idx="11">
                  <c:v>1.8779999999999999</c:v>
                </c:pt>
                <c:pt idx="12">
                  <c:v>2.52</c:v>
                </c:pt>
                <c:pt idx="13">
                  <c:v>1.6439999999999999</c:v>
                </c:pt>
                <c:pt idx="14">
                  <c:v>2.1720000000000002</c:v>
                </c:pt>
                <c:pt idx="15">
                  <c:v>2.508</c:v>
                </c:pt>
                <c:pt idx="16">
                  <c:v>2.8079999999999998</c:v>
                </c:pt>
                <c:pt idx="17">
                  <c:v>2.0458803989065744</c:v>
                </c:pt>
                <c:pt idx="18">
                  <c:v>2.34</c:v>
                </c:pt>
                <c:pt idx="19">
                  <c:v>2.004</c:v>
                </c:pt>
                <c:pt idx="20">
                  <c:v>3.0059999999999998</c:v>
                </c:pt>
                <c:pt idx="21">
                  <c:v>1.65</c:v>
                </c:pt>
                <c:pt idx="22">
                  <c:v>1.8</c:v>
                </c:pt>
                <c:pt idx="23">
                  <c:v>1.788</c:v>
                </c:pt>
                <c:pt idx="24">
                  <c:v>1.38</c:v>
                </c:pt>
                <c:pt idx="25">
                  <c:v>1.3680000000000001</c:v>
                </c:pt>
                <c:pt idx="26">
                  <c:v>2.5299999999999998</c:v>
                </c:pt>
                <c:pt idx="27">
                  <c:v>1.536</c:v>
                </c:pt>
                <c:pt idx="28">
                  <c:v>1.5755999999999999</c:v>
                </c:pt>
                <c:pt idx="29">
                  <c:v>0.996</c:v>
                </c:pt>
                <c:pt idx="30">
                  <c:v>2.028</c:v>
                </c:pt>
                <c:pt idx="31">
                  <c:v>0.94</c:v>
                </c:pt>
                <c:pt idx="32">
                  <c:v>1.4159999999999999</c:v>
                </c:pt>
                <c:pt idx="33">
                  <c:v>1.296</c:v>
                </c:pt>
                <c:pt idx="34">
                  <c:v>1.92</c:v>
                </c:pt>
                <c:pt idx="35">
                  <c:v>1.6279999999999999</c:v>
                </c:pt>
                <c:pt idx="36">
                  <c:v>1.92</c:v>
                </c:pt>
                <c:pt idx="37">
                  <c:v>2.298</c:v>
                </c:pt>
                <c:pt idx="38">
                  <c:v>2.34</c:v>
                </c:pt>
                <c:pt idx="39">
                  <c:v>1.296</c:v>
                </c:pt>
                <c:pt idx="40">
                  <c:v>1.8</c:v>
                </c:pt>
                <c:pt idx="41">
                  <c:v>1.8480000000000001</c:v>
                </c:pt>
                <c:pt idx="42">
                  <c:v>1.8390827711237916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85552"/>
        <c:axId val="421892608"/>
      </c:barChart>
      <c:catAx>
        <c:axId val="42188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92608"/>
        <c:crosses val="autoZero"/>
        <c:auto val="1"/>
        <c:lblAlgn val="ctr"/>
        <c:lblOffset val="100"/>
        <c:noMultiLvlLbl val="0"/>
      </c:catAx>
      <c:valAx>
        <c:axId val="42189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8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31.12.2018</a:t>
            </a:r>
            <a:endParaRPr lang="et-EE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hind+ab.+km'!$AC$3:$AC$47</c:f>
            </c:numRef>
          </c:val>
          <c:extLst>
            <c:ext xmlns:c16="http://schemas.microsoft.com/office/drawing/2014/chart" uri="{C3380CC4-5D6E-409C-BE32-E72D297353CC}">
              <c16:uniqueId val="{00000000-A5B7-4E4F-A16C-37D531E0AB23}"/>
            </c:ext>
          </c:extLst>
        </c:ser>
        <c:ser>
          <c:idx val="1"/>
          <c:order val="1"/>
          <c:tx>
            <c:strRef>
              <c:f>'el vee ja kanali hind+ab.+km'!$AD$1:$AD$2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hind+ab.+km'!$AD$3:$AD$47</c:f>
            </c:numRef>
          </c:val>
          <c:extLst>
            <c:ext xmlns:c16="http://schemas.microsoft.com/office/drawing/2014/chart" uri="{C3380CC4-5D6E-409C-BE32-E72D297353CC}">
              <c16:uniqueId val="{00000001-A5B7-4E4F-A16C-37D531E0AB23}"/>
            </c:ext>
          </c:extLst>
        </c:ser>
        <c:ser>
          <c:idx val="2"/>
          <c:order val="2"/>
          <c:tx>
            <c:strRef>
              <c:f>'el vee ja kanali hind+ab.+km'!$AE$1:$AE$2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hind+ab.+km'!$AE$3:$AE$47</c:f>
            </c:numRef>
          </c:val>
          <c:extLst>
            <c:ext xmlns:c16="http://schemas.microsoft.com/office/drawing/2014/chart" uri="{C3380CC4-5D6E-409C-BE32-E72D297353CC}">
              <c16:uniqueId val="{00000002-A5B7-4E4F-A16C-37D531E0AB23}"/>
            </c:ext>
          </c:extLst>
        </c:ser>
        <c:ser>
          <c:idx val="3"/>
          <c:order val="3"/>
          <c:tx>
            <c:strRef>
              <c:f>'el vee ja kanali hind+ab.+km'!$AF$1:$AF$2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hind+ab.+km'!$AF$3:$AF$47</c:f>
            </c:numRef>
          </c:val>
          <c:extLst>
            <c:ext xmlns:c16="http://schemas.microsoft.com/office/drawing/2014/chart" uri="{C3380CC4-5D6E-409C-BE32-E72D297353CC}">
              <c16:uniqueId val="{00000003-A5B7-4E4F-A16C-37D531E0AB23}"/>
            </c:ext>
          </c:extLst>
        </c:ser>
        <c:ser>
          <c:idx val="4"/>
          <c:order val="4"/>
          <c:tx>
            <c:strRef>
              <c:f>'el vee ja kanali hind+ab.+km'!$AG$1:$AG$2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hind+ab.+km'!$AG$3:$AG$47</c:f>
            </c:numRef>
          </c:val>
          <c:extLst>
            <c:ext xmlns:c16="http://schemas.microsoft.com/office/drawing/2014/chart" uri="{C3380CC4-5D6E-409C-BE32-E72D297353CC}">
              <c16:uniqueId val="{00000004-A5B7-4E4F-A16C-37D531E0AB23}"/>
            </c:ext>
          </c:extLst>
        </c:ser>
        <c:ser>
          <c:idx val="5"/>
          <c:order val="5"/>
          <c:tx>
            <c:strRef>
              <c:f>'el vee ja kanali hind+ab.+km'!$AH$1:$AH$2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hind+ab.+km'!$AH$3:$AH$47</c:f>
            </c:numRef>
          </c:val>
          <c:extLst>
            <c:ext xmlns:c16="http://schemas.microsoft.com/office/drawing/2014/chart" uri="{C3380CC4-5D6E-409C-BE32-E72D297353CC}">
              <c16:uniqueId val="{00000005-A5B7-4E4F-A16C-37D531E0AB23}"/>
            </c:ext>
          </c:extLst>
        </c:ser>
        <c:ser>
          <c:idx val="6"/>
          <c:order val="6"/>
          <c:tx>
            <c:strRef>
              <c:f>'el vee ja kanali hind+ab.+km'!$AI$1:$AI$2</c:f>
              <c:strCache>
                <c:ptCount val="2"/>
                <c:pt idx="0">
                  <c:v>Hind koos abonenttasuga 1 m³ kohta € +KM</c:v>
                </c:pt>
                <c:pt idx="1">
                  <c:v>elanikud vesi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1.5864</c:v>
                </c:pt>
                <c:pt idx="2">
                  <c:v>1.4738867611752602</c:v>
                </c:pt>
                <c:pt idx="3">
                  <c:v>0.98668139026003765</c:v>
                </c:pt>
                <c:pt idx="4">
                  <c:v>1.109478025482878</c:v>
                </c:pt>
                <c:pt idx="5">
                  <c:v>1.3542695485270799</c:v>
                </c:pt>
                <c:pt idx="6">
                  <c:v>1.56</c:v>
                </c:pt>
                <c:pt idx="7">
                  <c:v>1.1375999999999999</c:v>
                </c:pt>
                <c:pt idx="8">
                  <c:v>1.464</c:v>
                </c:pt>
                <c:pt idx="9">
                  <c:v>1.3176000000000001</c:v>
                </c:pt>
                <c:pt idx="10">
                  <c:v>1.0680000000000001</c:v>
                </c:pt>
                <c:pt idx="11">
                  <c:v>1.6320000000000001</c:v>
                </c:pt>
                <c:pt idx="12">
                  <c:v>1.758</c:v>
                </c:pt>
                <c:pt idx="13">
                  <c:v>1.3440000000000001</c:v>
                </c:pt>
                <c:pt idx="14">
                  <c:v>1.7621367154714167</c:v>
                </c:pt>
                <c:pt idx="15">
                  <c:v>1.32</c:v>
                </c:pt>
                <c:pt idx="16">
                  <c:v>1.56</c:v>
                </c:pt>
                <c:pt idx="17">
                  <c:v>1.0834620633379759</c:v>
                </c:pt>
                <c:pt idx="18">
                  <c:v>1.476</c:v>
                </c:pt>
                <c:pt idx="19">
                  <c:v>1.5960000000000001</c:v>
                </c:pt>
                <c:pt idx="20">
                  <c:v>1.1435999999999999</c:v>
                </c:pt>
                <c:pt idx="21">
                  <c:v>1.05</c:v>
                </c:pt>
                <c:pt idx="22">
                  <c:v>1.716</c:v>
                </c:pt>
                <c:pt idx="23">
                  <c:v>0.88800000000000001</c:v>
                </c:pt>
                <c:pt idx="24">
                  <c:v>1.44</c:v>
                </c:pt>
                <c:pt idx="25">
                  <c:v>0.91199999999999992</c:v>
                </c:pt>
                <c:pt idx="26">
                  <c:v>0</c:v>
                </c:pt>
                <c:pt idx="27">
                  <c:v>1.1519999999999999</c:v>
                </c:pt>
                <c:pt idx="28">
                  <c:v>1.5047999999999999</c:v>
                </c:pt>
                <c:pt idx="29">
                  <c:v>1.1160000000000001</c:v>
                </c:pt>
                <c:pt idx="30">
                  <c:v>1.3440000000000001</c:v>
                </c:pt>
                <c:pt idx="31">
                  <c:v>1.1399999999999999</c:v>
                </c:pt>
                <c:pt idx="32">
                  <c:v>1.08</c:v>
                </c:pt>
                <c:pt idx="33">
                  <c:v>0.73919999999999997</c:v>
                </c:pt>
                <c:pt idx="34">
                  <c:v>1.8975534030209318</c:v>
                </c:pt>
                <c:pt idx="35">
                  <c:v>1.3655999999999999</c:v>
                </c:pt>
                <c:pt idx="36">
                  <c:v>1.2167999999999999</c:v>
                </c:pt>
                <c:pt idx="37">
                  <c:v>1.0548</c:v>
                </c:pt>
                <c:pt idx="38">
                  <c:v>1.5</c:v>
                </c:pt>
                <c:pt idx="39">
                  <c:v>0.92399999999999993</c:v>
                </c:pt>
                <c:pt idx="40">
                  <c:v>1.2</c:v>
                </c:pt>
                <c:pt idx="41">
                  <c:v>1.1759999999999999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B7-4E4F-A16C-37D531E0AB23}"/>
            </c:ext>
          </c:extLst>
        </c:ser>
        <c:ser>
          <c:idx val="7"/>
          <c:order val="7"/>
          <c:tx>
            <c:strRef>
              <c:f>'el vee ja kanali hind+ab.+km'!$AJ$1:$AJ$2</c:f>
              <c:strCache>
                <c:ptCount val="2"/>
                <c:pt idx="0">
                  <c:v>Hind koos abonenttasuga 1 m³ kohta € +KM</c:v>
                </c:pt>
                <c:pt idx="1">
                  <c:v>elanikud kanal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1.8947999999999998</c:v>
                </c:pt>
                <c:pt idx="2">
                  <c:v>1.794210134554824</c:v>
                </c:pt>
                <c:pt idx="3">
                  <c:v>0.79637404798332179</c:v>
                </c:pt>
                <c:pt idx="4">
                  <c:v>1.7021030826140564</c:v>
                </c:pt>
                <c:pt idx="5">
                  <c:v>2.0696881220968812</c:v>
                </c:pt>
                <c:pt idx="6">
                  <c:v>2.34</c:v>
                </c:pt>
                <c:pt idx="7">
                  <c:v>1.3559999999999999</c:v>
                </c:pt>
                <c:pt idx="8">
                  <c:v>0.86759999999999993</c:v>
                </c:pt>
                <c:pt idx="9">
                  <c:v>2.2080000000000002</c:v>
                </c:pt>
                <c:pt idx="10">
                  <c:v>2.3879999999999999</c:v>
                </c:pt>
                <c:pt idx="11">
                  <c:v>1.8779999999999999</c:v>
                </c:pt>
                <c:pt idx="12">
                  <c:v>2.52</c:v>
                </c:pt>
                <c:pt idx="13">
                  <c:v>1.6440000000000001</c:v>
                </c:pt>
                <c:pt idx="14">
                  <c:v>2.1720000000000002</c:v>
                </c:pt>
                <c:pt idx="15">
                  <c:v>2.5079999999999996</c:v>
                </c:pt>
                <c:pt idx="16">
                  <c:v>2.8079999999999998</c:v>
                </c:pt>
                <c:pt idx="17">
                  <c:v>2.0482789416359326</c:v>
                </c:pt>
                <c:pt idx="18">
                  <c:v>2.34</c:v>
                </c:pt>
                <c:pt idx="19">
                  <c:v>2.004</c:v>
                </c:pt>
                <c:pt idx="20">
                  <c:v>3.0060665493426399</c:v>
                </c:pt>
                <c:pt idx="21">
                  <c:v>1.65</c:v>
                </c:pt>
                <c:pt idx="22">
                  <c:v>1.7999999999999998</c:v>
                </c:pt>
                <c:pt idx="23">
                  <c:v>1.788</c:v>
                </c:pt>
                <c:pt idx="24">
                  <c:v>1.38</c:v>
                </c:pt>
                <c:pt idx="25">
                  <c:v>1.3679999999999999</c:v>
                </c:pt>
                <c:pt idx="26">
                  <c:v>0</c:v>
                </c:pt>
                <c:pt idx="27">
                  <c:v>1.5484685138539043</c:v>
                </c:pt>
                <c:pt idx="28">
                  <c:v>1.5755999999999999</c:v>
                </c:pt>
                <c:pt idx="29">
                  <c:v>0.99599999999999989</c:v>
                </c:pt>
                <c:pt idx="30">
                  <c:v>2.028</c:v>
                </c:pt>
                <c:pt idx="31">
                  <c:v>0.93599999999999994</c:v>
                </c:pt>
                <c:pt idx="32">
                  <c:v>1.4159999999999999</c:v>
                </c:pt>
                <c:pt idx="33">
                  <c:v>1.296</c:v>
                </c:pt>
                <c:pt idx="34">
                  <c:v>1.9834893707257595</c:v>
                </c:pt>
                <c:pt idx="35">
                  <c:v>1.6283999999999998</c:v>
                </c:pt>
                <c:pt idx="36">
                  <c:v>1.92</c:v>
                </c:pt>
                <c:pt idx="37">
                  <c:v>2.298</c:v>
                </c:pt>
                <c:pt idx="38">
                  <c:v>2.34</c:v>
                </c:pt>
                <c:pt idx="39">
                  <c:v>1.296</c:v>
                </c:pt>
                <c:pt idx="40">
                  <c:v>1.7999999999999998</c:v>
                </c:pt>
                <c:pt idx="41">
                  <c:v>1.8479999999999999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B7-4E4F-A16C-37D531E0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1040"/>
        <c:axId val="421887512"/>
      </c:barChart>
      <c:catAx>
        <c:axId val="42189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87512"/>
        <c:crosses val="autoZero"/>
        <c:auto val="1"/>
        <c:lblAlgn val="ctr"/>
        <c:lblOffset val="100"/>
        <c:noMultiLvlLbl val="0"/>
      </c:catAx>
      <c:valAx>
        <c:axId val="421887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91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hind+km'!$AC$3:$AC$47</c:f>
            </c:numRef>
          </c:val>
          <c:extLst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hind+km'!$AD$3:$AD$47</c:f>
            </c:numRef>
          </c:val>
          <c:extLst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hind+km'!$AE$3:$AE$47</c:f>
            </c:numRef>
          </c:val>
          <c:extLst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hind+km'!$AF$3:$AF$47</c:f>
            </c:numRef>
          </c:val>
          <c:extLst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hind+km'!$AG$3:$AG$47</c:f>
            </c:numRef>
          </c:val>
          <c:extLst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hind+km'!$AH$3:$AH$47</c:f>
            </c:numRef>
          </c:val>
          <c:extLst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hind+km'!$AI$3:$AI$47</c:f>
            </c:numRef>
          </c:val>
          <c:extLst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hind+km'!$AJ$3:$AJ$47</c:f>
            </c:numRef>
          </c:val>
          <c:extLst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2">
                  <c:v>keskmine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3.4809999999999999</c:v>
                </c:pt>
                <c:pt idx="2">
                  <c:v>3.2680968957300842</c:v>
                </c:pt>
                <c:pt idx="3">
                  <c:v>1.494</c:v>
                </c:pt>
                <c:pt idx="4">
                  <c:v>2.8115811080969344</c:v>
                </c:pt>
                <c:pt idx="5">
                  <c:v>3.024</c:v>
                </c:pt>
                <c:pt idx="6">
                  <c:v>3.9</c:v>
                </c:pt>
                <c:pt idx="7">
                  <c:v>2.5</c:v>
                </c:pt>
                <c:pt idx="8">
                  <c:v>2.3315999999999999</c:v>
                </c:pt>
                <c:pt idx="9">
                  <c:v>3.5256000000000003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4.3680000000000003</c:v>
                </c:pt>
                <c:pt idx="17">
                  <c:v>3.1268382064165277</c:v>
                </c:pt>
                <c:pt idx="18">
                  <c:v>3.8159999999999998</c:v>
                </c:pt>
                <c:pt idx="19">
                  <c:v>3.6</c:v>
                </c:pt>
                <c:pt idx="20">
                  <c:v>4.1495999999999995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2.2800000000000002</c:v>
                </c:pt>
                <c:pt idx="26">
                  <c:v>5.0399999999999991</c:v>
                </c:pt>
                <c:pt idx="27">
                  <c:v>2.6879999999999997</c:v>
                </c:pt>
                <c:pt idx="28">
                  <c:v>3.0804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2.08</c:v>
                </c:pt>
                <c:pt idx="32">
                  <c:v>2.496</c:v>
                </c:pt>
                <c:pt idx="33">
                  <c:v>2.0350000000000001</c:v>
                </c:pt>
                <c:pt idx="34">
                  <c:v>3.7559999999999998</c:v>
                </c:pt>
                <c:pt idx="35">
                  <c:v>2.9929999999999999</c:v>
                </c:pt>
                <c:pt idx="36">
                  <c:v>3.137</c:v>
                </c:pt>
                <c:pt idx="37">
                  <c:v>3.3529999999999998</c:v>
                </c:pt>
                <c:pt idx="38">
                  <c:v>3.84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  <c:pt idx="42">
                  <c:v>3.1568467368352082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3392"/>
        <c:axId val="421893784"/>
      </c:barChart>
      <c:catAx>
        <c:axId val="42189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93784"/>
        <c:crosses val="autoZero"/>
        <c:auto val="1"/>
        <c:lblAlgn val="ctr"/>
        <c:lblOffset val="100"/>
        <c:noMultiLvlLbl val="0"/>
      </c:catAx>
      <c:valAx>
        <c:axId val="421893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9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31.12.2018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hind+ab+km'!$AC$3:$AC$47</c:f>
            </c:numRef>
          </c:val>
          <c:extLst>
            <c:ext xmlns:c16="http://schemas.microsoft.com/office/drawing/2014/chart" uri="{C3380CC4-5D6E-409C-BE32-E72D297353CC}">
              <c16:uniqueId val="{00000000-C983-47F9-B0A4-FEE5CA1FE302}"/>
            </c:ext>
          </c:extLst>
        </c:ser>
        <c:ser>
          <c:idx val="1"/>
          <c:order val="1"/>
          <c:tx>
            <c:strRef>
              <c:f>'elanike veeteenuse hind+ab+km'!$AD$1:$AD$2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hind+ab+km'!$AD$3:$AD$47</c:f>
            </c:numRef>
          </c:val>
          <c:extLst>
            <c:ext xmlns:c16="http://schemas.microsoft.com/office/drawing/2014/chart" uri="{C3380CC4-5D6E-409C-BE32-E72D297353CC}">
              <c16:uniqueId val="{00000001-C983-47F9-B0A4-FEE5CA1FE302}"/>
            </c:ext>
          </c:extLst>
        </c:ser>
        <c:ser>
          <c:idx val="2"/>
          <c:order val="2"/>
          <c:tx>
            <c:strRef>
              <c:f>'elanike veeteenuse hind+ab+km'!$AE$1:$AE$2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hind+ab+km'!$AE$3:$AE$47</c:f>
            </c:numRef>
          </c:val>
          <c:extLst>
            <c:ext xmlns:c16="http://schemas.microsoft.com/office/drawing/2014/chart" uri="{C3380CC4-5D6E-409C-BE32-E72D297353CC}">
              <c16:uniqueId val="{00000002-C983-47F9-B0A4-FEE5CA1FE302}"/>
            </c:ext>
          </c:extLst>
        </c:ser>
        <c:ser>
          <c:idx val="3"/>
          <c:order val="3"/>
          <c:tx>
            <c:strRef>
              <c:f>'elanike veeteenuse hind+ab+km'!$AF$1:$AF$2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hind+ab+km'!$AF$3:$AF$47</c:f>
            </c:numRef>
          </c:val>
          <c:extLst>
            <c:ext xmlns:c16="http://schemas.microsoft.com/office/drawing/2014/chart" uri="{C3380CC4-5D6E-409C-BE32-E72D297353CC}">
              <c16:uniqueId val="{00000003-C983-47F9-B0A4-FEE5CA1FE302}"/>
            </c:ext>
          </c:extLst>
        </c:ser>
        <c:ser>
          <c:idx val="4"/>
          <c:order val="4"/>
          <c:tx>
            <c:strRef>
              <c:f>'elanike veeteenuse hind+ab+km'!$AG$1:$AG$2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hind+ab+km'!$AG$3:$AG$47</c:f>
            </c:numRef>
          </c:val>
          <c:extLst>
            <c:ext xmlns:c16="http://schemas.microsoft.com/office/drawing/2014/chart" uri="{C3380CC4-5D6E-409C-BE32-E72D297353CC}">
              <c16:uniqueId val="{00000004-C983-47F9-B0A4-FEE5CA1FE302}"/>
            </c:ext>
          </c:extLst>
        </c:ser>
        <c:ser>
          <c:idx val="5"/>
          <c:order val="5"/>
          <c:tx>
            <c:strRef>
              <c:f>'elanike veeteenuse hind+ab+km'!$AH$1:$AH$2</c:f>
              <c:strCache>
                <c:ptCount val="2"/>
                <c:pt idx="0">
                  <c:v>Hind koos abonenttasuga 1 m³ kohta € 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hind+ab+km'!$AH$3:$AH$47</c:f>
            </c:numRef>
          </c:val>
          <c:extLst>
            <c:ext xmlns:c16="http://schemas.microsoft.com/office/drawing/2014/chart" uri="{C3380CC4-5D6E-409C-BE32-E72D297353CC}">
              <c16:uniqueId val="{00000005-C983-47F9-B0A4-FEE5CA1FE302}"/>
            </c:ext>
          </c:extLst>
        </c:ser>
        <c:ser>
          <c:idx val="6"/>
          <c:order val="6"/>
          <c:tx>
            <c:strRef>
              <c:f>'elanike veeteenuse hind+ab+km'!$AI$1:$AI$2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hind+ab+km'!$AI$3:$AI$47</c:f>
            </c:numRef>
          </c:val>
          <c:extLst>
            <c:ext xmlns:c16="http://schemas.microsoft.com/office/drawing/2014/chart" uri="{C3380CC4-5D6E-409C-BE32-E72D297353CC}">
              <c16:uniqueId val="{00000006-C983-47F9-B0A4-FEE5CA1FE302}"/>
            </c:ext>
          </c:extLst>
        </c:ser>
        <c:ser>
          <c:idx val="7"/>
          <c:order val="7"/>
          <c:tx>
            <c:strRef>
              <c:f>'elanike veeteenuse hind+ab+km'!$AJ$1:$AJ$2</c:f>
              <c:strCache>
                <c:ptCount val="2"/>
                <c:pt idx="0">
                  <c:v>Hind koos abonenttasuga 1 m³ kohta € +KM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hind+ab+km'!$AJ$3:$AJ$47</c:f>
            </c:numRef>
          </c:val>
          <c:extLst>
            <c:ext xmlns:c16="http://schemas.microsoft.com/office/drawing/2014/chart" uri="{C3380CC4-5D6E-409C-BE32-E72D297353CC}">
              <c16:uniqueId val="{00000007-C983-47F9-B0A4-FEE5CA1FE302}"/>
            </c:ext>
          </c:extLst>
        </c:ser>
        <c:ser>
          <c:idx val="8"/>
          <c:order val="8"/>
          <c:tx>
            <c:strRef>
              <c:f>'elanike veeteenuse hind+ab+km'!$AK$1:$AK$2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hind+ab+km'!$AK$3:$AK$47</c:f>
            </c:numRef>
          </c:val>
          <c:extLst>
            <c:ext xmlns:c16="http://schemas.microsoft.com/office/drawing/2014/chart" uri="{C3380CC4-5D6E-409C-BE32-E72D297353CC}">
              <c16:uniqueId val="{00000008-C983-47F9-B0A4-FEE5CA1FE302}"/>
            </c:ext>
          </c:extLst>
        </c:ser>
        <c:ser>
          <c:idx val="9"/>
          <c:order val="9"/>
          <c:tx>
            <c:strRef>
              <c:f>'elanike veeteenuse hind+ab+km'!$AL$1:$AL$2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hind+ab+km'!$AL$3:$AL$47</c:f>
            </c:numRef>
          </c:val>
          <c:extLst>
            <c:ext xmlns:c16="http://schemas.microsoft.com/office/drawing/2014/chart" uri="{C3380CC4-5D6E-409C-BE32-E72D297353CC}">
              <c16:uniqueId val="{00000009-C983-47F9-B0A4-FEE5CA1FE302}"/>
            </c:ext>
          </c:extLst>
        </c:ser>
        <c:ser>
          <c:idx val="10"/>
          <c:order val="10"/>
          <c:tx>
            <c:strRef>
              <c:f>'elanike veeteenuse hind+ab+km'!$AM$1:$AM$2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hind+ab+km'!$AM$3:$AM$47</c:f>
            </c:numRef>
          </c:val>
          <c:extLst>
            <c:ext xmlns:c16="http://schemas.microsoft.com/office/drawing/2014/chart" uri="{C3380CC4-5D6E-409C-BE32-E72D297353CC}">
              <c16:uniqueId val="{0000000A-C983-47F9-B0A4-FEE5CA1FE302}"/>
            </c:ext>
          </c:extLst>
        </c:ser>
        <c:ser>
          <c:idx val="11"/>
          <c:order val="11"/>
          <c:tx>
            <c:strRef>
              <c:f>'elanike veeteenuse hind+ab+km'!$AN$1:$AN$2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hind+ab+km'!$AN$3:$AN$47</c:f>
            </c:numRef>
          </c:val>
          <c:extLst>
            <c:ext xmlns:c16="http://schemas.microsoft.com/office/drawing/2014/chart" uri="{C3380CC4-5D6E-409C-BE32-E72D297353CC}">
              <c16:uniqueId val="{0000000B-C983-47F9-B0A4-FEE5CA1FE302}"/>
            </c:ext>
          </c:extLst>
        </c:ser>
        <c:ser>
          <c:idx val="12"/>
          <c:order val="12"/>
          <c:tx>
            <c:strRef>
              <c:f>'elanike veeteenuse hind+ab+km'!$AO$1:$AO$2</c:f>
              <c:strCache>
                <c:ptCount val="2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hind+ab+km'!$AO$3:$AO$47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3.4811999999999999</c:v>
                </c:pt>
                <c:pt idx="2">
                  <c:v>3.2680968957300842</c:v>
                </c:pt>
                <c:pt idx="3">
                  <c:v>1.7830554382433594</c:v>
                </c:pt>
                <c:pt idx="4">
                  <c:v>2.8115811080969344</c:v>
                </c:pt>
                <c:pt idx="5">
                  <c:v>3.4239576706239614</c:v>
                </c:pt>
                <c:pt idx="6">
                  <c:v>3.9</c:v>
                </c:pt>
                <c:pt idx="7">
                  <c:v>2.4935999999999998</c:v>
                </c:pt>
                <c:pt idx="8">
                  <c:v>2.3315999999999999</c:v>
                </c:pt>
                <c:pt idx="9">
                  <c:v>3.5256000000000003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2.9880000000000004</c:v>
                </c:pt>
                <c:pt idx="14">
                  <c:v>3.9341367154714169</c:v>
                </c:pt>
                <c:pt idx="15">
                  <c:v>3.8279999999999994</c:v>
                </c:pt>
                <c:pt idx="16">
                  <c:v>4.3680000000000003</c:v>
                </c:pt>
                <c:pt idx="17">
                  <c:v>3.1317410049739083</c:v>
                </c:pt>
                <c:pt idx="18">
                  <c:v>3.8159999999999998</c:v>
                </c:pt>
                <c:pt idx="19">
                  <c:v>3.6</c:v>
                </c:pt>
                <c:pt idx="20">
                  <c:v>4.1496665493426397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2.2799999999999998</c:v>
                </c:pt>
                <c:pt idx="26">
                  <c:v>0</c:v>
                </c:pt>
                <c:pt idx="27">
                  <c:v>2.7004685138539042</c:v>
                </c:pt>
                <c:pt idx="28">
                  <c:v>3.0804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2.0759999999999996</c:v>
                </c:pt>
                <c:pt idx="32">
                  <c:v>2.496</c:v>
                </c:pt>
                <c:pt idx="33">
                  <c:v>2.0352000000000001</c:v>
                </c:pt>
                <c:pt idx="34">
                  <c:v>3.8810427737466915</c:v>
                </c:pt>
                <c:pt idx="35">
                  <c:v>2.9939999999999998</c:v>
                </c:pt>
                <c:pt idx="36">
                  <c:v>3.1368</c:v>
                </c:pt>
                <c:pt idx="37">
                  <c:v>3.3528000000000002</c:v>
                </c:pt>
                <c:pt idx="38">
                  <c:v>3.84</c:v>
                </c:pt>
                <c:pt idx="39">
                  <c:v>2.2199999999999998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83-47F9-B0A4-FEE5CA1FE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4176"/>
        <c:axId val="421884376"/>
      </c:barChart>
      <c:catAx>
        <c:axId val="42189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84376"/>
        <c:crosses val="autoZero"/>
        <c:auto val="1"/>
        <c:lblAlgn val="ctr"/>
        <c:lblOffset val="100"/>
        <c:noMultiLvlLbl val="0"/>
      </c:catAx>
      <c:valAx>
        <c:axId val="421884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9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31.12.2018(ilma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hind'!$B$3:$B$47</c:f>
            </c:numRef>
          </c:val>
          <c:extLst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hind'!$C$3:$C$47</c:f>
            </c:numRef>
          </c:val>
          <c:extLst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hind'!$D$3:$D$47</c:f>
            </c:numRef>
          </c:val>
          <c:extLst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hind'!$E$3:$E$47</c:f>
            </c:numRef>
          </c:val>
          <c:extLst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hind'!$F$3:$F$47</c:f>
            </c:numRef>
          </c:val>
          <c:extLst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hind'!$G$3:$G$47</c:f>
            </c:numRef>
          </c:val>
          <c:extLst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hind'!$H$3:$H$47</c:f>
            </c:numRef>
          </c:val>
          <c:extLst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hind'!$I$3:$I$47</c:f>
            </c:numRef>
          </c:val>
          <c:extLst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hind'!$J$3:$J$47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1.3169999999999999</c:v>
                </c:pt>
                <c:pt idx="2">
                  <c:v>1.2230369679931448</c:v>
                </c:pt>
                <c:pt idx="3">
                  <c:v>1.1052542996896859</c:v>
                </c:pt>
                <c:pt idx="4">
                  <c:v>0.97</c:v>
                </c:pt>
                <c:pt idx="5">
                  <c:v>1.36</c:v>
                </c:pt>
                <c:pt idx="6">
                  <c:v>0.94799999999999995</c:v>
                </c:pt>
                <c:pt idx="7">
                  <c:v>1.5680000000000001</c:v>
                </c:pt>
                <c:pt idx="8">
                  <c:v>1.097</c:v>
                </c:pt>
                <c:pt idx="9">
                  <c:v>0.89</c:v>
                </c:pt>
                <c:pt idx="10">
                  <c:v>1.43</c:v>
                </c:pt>
                <c:pt idx="11">
                  <c:v>1.4650000000000001</c:v>
                </c:pt>
                <c:pt idx="12">
                  <c:v>1.1200000000000001</c:v>
                </c:pt>
                <c:pt idx="13">
                  <c:v>1.83</c:v>
                </c:pt>
                <c:pt idx="14">
                  <c:v>1.27</c:v>
                </c:pt>
                <c:pt idx="15">
                  <c:v>1.3</c:v>
                </c:pt>
                <c:pt idx="16">
                  <c:v>0.95410476479985507</c:v>
                </c:pt>
                <c:pt idx="17">
                  <c:v>1.23</c:v>
                </c:pt>
                <c:pt idx="18">
                  <c:v>1.33</c:v>
                </c:pt>
                <c:pt idx="19">
                  <c:v>0.97699999999999998</c:v>
                </c:pt>
                <c:pt idx="20">
                  <c:v>0.875</c:v>
                </c:pt>
                <c:pt idx="21">
                  <c:v>1.52</c:v>
                </c:pt>
                <c:pt idx="22">
                  <c:v>1</c:v>
                </c:pt>
                <c:pt idx="23">
                  <c:v>1.2</c:v>
                </c:pt>
                <c:pt idx="24">
                  <c:v>0.76</c:v>
                </c:pt>
                <c:pt idx="25">
                  <c:v>2.14</c:v>
                </c:pt>
                <c:pt idx="26">
                  <c:v>0.96</c:v>
                </c:pt>
                <c:pt idx="27">
                  <c:v>1.4419999999999999</c:v>
                </c:pt>
                <c:pt idx="28">
                  <c:v>1.04</c:v>
                </c:pt>
                <c:pt idx="29">
                  <c:v>1.87</c:v>
                </c:pt>
                <c:pt idx="30">
                  <c:v>2.3199999999999998</c:v>
                </c:pt>
                <c:pt idx="31">
                  <c:v>1.05</c:v>
                </c:pt>
                <c:pt idx="32">
                  <c:v>0.61599999999999999</c:v>
                </c:pt>
                <c:pt idx="33">
                  <c:v>1.53</c:v>
                </c:pt>
                <c:pt idx="34">
                  <c:v>1.2509999999999999</c:v>
                </c:pt>
                <c:pt idx="35">
                  <c:v>1.0429999999999999</c:v>
                </c:pt>
                <c:pt idx="36">
                  <c:v>0.879</c:v>
                </c:pt>
                <c:pt idx="37">
                  <c:v>1.47</c:v>
                </c:pt>
                <c:pt idx="38">
                  <c:v>0.77</c:v>
                </c:pt>
                <c:pt idx="39">
                  <c:v>1</c:v>
                </c:pt>
                <c:pt idx="40">
                  <c:v>0.98</c:v>
                </c:pt>
                <c:pt idx="41" formatCode="0.00">
                  <c:v>1.1975706349386019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hind'!$K$3:$K$47</c:f>
            </c:numRef>
          </c:val>
          <c:extLst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Häädemeeste VK AS</c:v>
                </c:pt>
                <c:pt idx="5">
                  <c:v>Iivakivi AS**</c:v>
                </c:pt>
                <c:pt idx="6">
                  <c:v>Järvakandi Komm.OÜ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Kehtna elamu OÜ**</c:v>
                </c:pt>
                <c:pt idx="12">
                  <c:v>Keila Vesi AS</c:v>
                </c:pt>
                <c:pt idx="13">
                  <c:v>Kiili KVH OÜ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AS**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Pärnu Vesi AS**</c:v>
                </c:pt>
                <c:pt idx="21">
                  <c:v>Põltsamaa Varahalduse OÜ**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Raven OÜ</c:v>
                </c:pt>
                <c:pt idx="26">
                  <c:v>Saarde Kommunaal OÜ</c:v>
                </c:pt>
                <c:pt idx="27">
                  <c:v>Saku Maja AS*</c:v>
                </c:pt>
                <c:pt idx="28">
                  <c:v>Sillamäe Veevärk AS</c:v>
                </c:pt>
                <c:pt idx="29">
                  <c:v>Strantum OÜ</c:v>
                </c:pt>
                <c:pt idx="30">
                  <c:v>Tallinna Vesi AS**</c:v>
                </c:pt>
                <c:pt idx="31">
                  <c:v>Tapa Vesi OÜ</c:v>
                </c:pt>
                <c:pt idx="32">
                  <c:v>Tartu Veevärk AS</c:v>
                </c:pt>
                <c:pt idx="33">
                  <c:v>Toila V.V AS</c:v>
                </c:pt>
                <c:pt idx="34">
                  <c:v>Türi Vesi OÜ**</c:v>
                </c:pt>
                <c:pt idx="35">
                  <c:v>Valga Vesi AS**</c:v>
                </c:pt>
                <c:pt idx="36">
                  <c:v>Velko AV OÜ</c:v>
                </c:pt>
                <c:pt idx="37">
                  <c:v>Viimsi Vesi AS**</c:v>
                </c:pt>
                <c:pt idx="38">
                  <c:v>Viljandi Veevärk AS</c:v>
                </c:pt>
                <c:pt idx="39">
                  <c:v>Võhma ELKO*</c:v>
                </c:pt>
                <c:pt idx="40">
                  <c:v>Võru Vesi**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hind'!$L$3:$L$47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1.752</c:v>
                </c:pt>
                <c:pt idx="2">
                  <c:v>1.6693970685921824</c:v>
                </c:pt>
                <c:pt idx="3">
                  <c:v>1.499746061188213</c:v>
                </c:pt>
                <c:pt idx="4">
                  <c:v>1.55</c:v>
                </c:pt>
                <c:pt idx="5">
                  <c:v>2.0499999999999998</c:v>
                </c:pt>
                <c:pt idx="6">
                  <c:v>1.1299999999999999</c:v>
                </c:pt>
                <c:pt idx="7">
                  <c:v>0.72899999999999998</c:v>
                </c:pt>
                <c:pt idx="8">
                  <c:v>1.7969999999999999</c:v>
                </c:pt>
                <c:pt idx="9">
                  <c:v>1.99</c:v>
                </c:pt>
                <c:pt idx="10">
                  <c:v>1.585</c:v>
                </c:pt>
                <c:pt idx="11">
                  <c:v>2.1</c:v>
                </c:pt>
                <c:pt idx="12">
                  <c:v>1.37</c:v>
                </c:pt>
                <c:pt idx="13">
                  <c:v>2.77</c:v>
                </c:pt>
                <c:pt idx="14">
                  <c:v>2.4</c:v>
                </c:pt>
                <c:pt idx="15">
                  <c:v>2.34</c:v>
                </c:pt>
                <c:pt idx="16">
                  <c:v>2.1621893039278515</c:v>
                </c:pt>
                <c:pt idx="17">
                  <c:v>1.95</c:v>
                </c:pt>
                <c:pt idx="18">
                  <c:v>1.67</c:v>
                </c:pt>
                <c:pt idx="19">
                  <c:v>2.94</c:v>
                </c:pt>
                <c:pt idx="20">
                  <c:v>1.375</c:v>
                </c:pt>
                <c:pt idx="21">
                  <c:v>1.63</c:v>
                </c:pt>
                <c:pt idx="22">
                  <c:v>1.64</c:v>
                </c:pt>
                <c:pt idx="23">
                  <c:v>1.1499999999999999</c:v>
                </c:pt>
                <c:pt idx="24">
                  <c:v>1.1399999999999999</c:v>
                </c:pt>
                <c:pt idx="25">
                  <c:v>2.39</c:v>
                </c:pt>
                <c:pt idx="26">
                  <c:v>1.28</c:v>
                </c:pt>
                <c:pt idx="27">
                  <c:v>1.97</c:v>
                </c:pt>
                <c:pt idx="28">
                  <c:v>0.98</c:v>
                </c:pt>
                <c:pt idx="29">
                  <c:v>2.82</c:v>
                </c:pt>
                <c:pt idx="30">
                  <c:v>1.72</c:v>
                </c:pt>
                <c:pt idx="31">
                  <c:v>1.37</c:v>
                </c:pt>
                <c:pt idx="32">
                  <c:v>1.08</c:v>
                </c:pt>
                <c:pt idx="33">
                  <c:v>1.6</c:v>
                </c:pt>
                <c:pt idx="34">
                  <c:v>1.464</c:v>
                </c:pt>
                <c:pt idx="35">
                  <c:v>1.615</c:v>
                </c:pt>
                <c:pt idx="36">
                  <c:v>1.915</c:v>
                </c:pt>
                <c:pt idx="37">
                  <c:v>2.2000000000000002</c:v>
                </c:pt>
                <c:pt idx="38">
                  <c:v>1.08</c:v>
                </c:pt>
                <c:pt idx="39">
                  <c:v>1.5</c:v>
                </c:pt>
                <c:pt idx="40">
                  <c:v>1.54</c:v>
                </c:pt>
                <c:pt idx="41" formatCode="0.00">
                  <c:v>1.6808129861880057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83200"/>
        <c:axId val="421883592"/>
      </c:barChart>
      <c:catAx>
        <c:axId val="42188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83592"/>
        <c:crosses val="autoZero"/>
        <c:auto val="1"/>
        <c:lblAlgn val="ctr"/>
        <c:lblOffset val="100"/>
        <c:noMultiLvlLbl val="0"/>
      </c:catAx>
      <c:valAx>
        <c:axId val="421883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8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01.01.2018-31.12.2018</a:t>
            </a:r>
            <a:endParaRPr lang="et-E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müügist'!$AC$3:$AC$47</c:f>
            </c:numRef>
          </c:val>
          <c:extLst>
            <c:ext xmlns:c16="http://schemas.microsoft.com/office/drawing/2014/chart" uri="{C3380CC4-5D6E-409C-BE32-E72D297353CC}">
              <c16:uniqueId val="{00000000-2F25-45C8-98C5-B59ED7CF3DEA}"/>
            </c:ext>
          </c:extLst>
        </c:ser>
        <c:ser>
          <c:idx val="1"/>
          <c:order val="1"/>
          <c:tx>
            <c:strRef>
              <c:f>'tulu 1m3 vee müügist'!$AD$1:$AD$2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müügist'!$AD$3:$AD$47</c:f>
            </c:numRef>
          </c:val>
          <c:extLst>
            <c:ext xmlns:c16="http://schemas.microsoft.com/office/drawing/2014/chart" uri="{C3380CC4-5D6E-409C-BE32-E72D297353CC}">
              <c16:uniqueId val="{00000001-2F25-45C8-98C5-B59ED7CF3DEA}"/>
            </c:ext>
          </c:extLst>
        </c:ser>
        <c:ser>
          <c:idx val="2"/>
          <c:order val="2"/>
          <c:tx>
            <c:strRef>
              <c:f>'tulu 1m3 vee müügist'!$AE$1:$AE$2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müügist'!$AE$3:$AE$47</c:f>
            </c:numRef>
          </c:val>
          <c:extLst>
            <c:ext xmlns:c16="http://schemas.microsoft.com/office/drawing/2014/chart" uri="{C3380CC4-5D6E-409C-BE32-E72D297353CC}">
              <c16:uniqueId val="{00000002-2F25-45C8-98C5-B59ED7CF3DEA}"/>
            </c:ext>
          </c:extLst>
        </c:ser>
        <c:ser>
          <c:idx val="3"/>
          <c:order val="3"/>
          <c:tx>
            <c:strRef>
              <c:f>'tulu 1m3 vee müügist'!$AF$1:$AF$2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müügist'!$AF$3:$AF$47</c:f>
            </c:numRef>
          </c:val>
          <c:extLst>
            <c:ext xmlns:c16="http://schemas.microsoft.com/office/drawing/2014/chart" uri="{C3380CC4-5D6E-409C-BE32-E72D297353CC}">
              <c16:uniqueId val="{00000003-2F25-45C8-98C5-B59ED7CF3DEA}"/>
            </c:ext>
          </c:extLst>
        </c:ser>
        <c:ser>
          <c:idx val="4"/>
          <c:order val="4"/>
          <c:tx>
            <c:strRef>
              <c:f>'tulu 1m3 vee müügist'!$AG$1:$AG$2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müügist'!$AG$3:$AG$47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1.3222268805578232</c:v>
                </c:pt>
                <c:pt idx="2">
                  <c:v>1.2282389676460501</c:v>
                </c:pt>
                <c:pt idx="3">
                  <c:v>0.84880158770546033</c:v>
                </c:pt>
                <c:pt idx="4">
                  <c:v>0.9245650212357317</c:v>
                </c:pt>
                <c:pt idx="5">
                  <c:v>1.1285153968121504</c:v>
                </c:pt>
                <c:pt idx="6">
                  <c:v>1.2709369904252203</c:v>
                </c:pt>
                <c:pt idx="7">
                  <c:v>0.94798901631400423</c:v>
                </c:pt>
                <c:pt idx="8">
                  <c:v>1.2197438384290118</c:v>
                </c:pt>
                <c:pt idx="9">
                  <c:v>1.0987400400361109</c:v>
                </c:pt>
                <c:pt idx="10">
                  <c:v>1.1574684006626401</c:v>
                </c:pt>
                <c:pt idx="11">
                  <c:v>1.3600045387066577</c:v>
                </c:pt>
                <c:pt idx="12">
                  <c:v>1.4206528619224161</c:v>
                </c:pt>
                <c:pt idx="13">
                  <c:v>1.1200442517095015</c:v>
                </c:pt>
                <c:pt idx="14">
                  <c:v>1.4684509931922038</c:v>
                </c:pt>
                <c:pt idx="15">
                  <c:v>1.1014159077562662</c:v>
                </c:pt>
                <c:pt idx="16">
                  <c:v>1.29991223304217</c:v>
                </c:pt>
                <c:pt idx="17">
                  <c:v>0.90288505278164666</c:v>
                </c:pt>
                <c:pt idx="18">
                  <c:v>0</c:v>
                </c:pt>
                <c:pt idx="19">
                  <c:v>1.3299991266330675</c:v>
                </c:pt>
                <c:pt idx="20">
                  <c:v>0.95267095195238993</c:v>
                </c:pt>
                <c:pt idx="21">
                  <c:v>0.87477924588138578</c:v>
                </c:pt>
                <c:pt idx="22">
                  <c:v>1.513599901175853</c:v>
                </c:pt>
                <c:pt idx="23">
                  <c:v>0.74656990408435486</c:v>
                </c:pt>
                <c:pt idx="24">
                  <c:v>1.1999991134103336</c:v>
                </c:pt>
                <c:pt idx="25">
                  <c:v>0.75998768918430049</c:v>
                </c:pt>
                <c:pt idx="26">
                  <c:v>0</c:v>
                </c:pt>
                <c:pt idx="27">
                  <c:v>0.96063100137174207</c:v>
                </c:pt>
                <c:pt idx="28">
                  <c:v>1.2538125614468298</c:v>
                </c:pt>
                <c:pt idx="29">
                  <c:v>0.93004296483897864</c:v>
                </c:pt>
                <c:pt idx="30">
                  <c:v>1.1199993906340455</c:v>
                </c:pt>
                <c:pt idx="31">
                  <c:v>0.95006050796674268</c:v>
                </c:pt>
                <c:pt idx="32">
                  <c:v>0.90000126484613141</c:v>
                </c:pt>
                <c:pt idx="33">
                  <c:v>0.61692115729298647</c:v>
                </c:pt>
                <c:pt idx="34">
                  <c:v>1.5812865795997646</c:v>
                </c:pt>
                <c:pt idx="35">
                  <c:v>1.1371762409832198</c:v>
                </c:pt>
                <c:pt idx="36">
                  <c:v>1.0136421460459946</c:v>
                </c:pt>
                <c:pt idx="37">
                  <c:v>0.87930667045535271</c:v>
                </c:pt>
                <c:pt idx="38">
                  <c:v>1.2617815437532887</c:v>
                </c:pt>
                <c:pt idx="39">
                  <c:v>0.76999969028741333</c:v>
                </c:pt>
                <c:pt idx="40">
                  <c:v>0.95322061191626417</c:v>
                </c:pt>
                <c:pt idx="41">
                  <c:v>1.0134072259916687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5-45C8-98C5-B59ED7CF3DEA}"/>
            </c:ext>
          </c:extLst>
        </c:ser>
        <c:ser>
          <c:idx val="5"/>
          <c:order val="5"/>
          <c:tx>
            <c:strRef>
              <c:f>'tulu 1m3 vee müügist'!$AH$1:$AH$2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müügist'!$AH$3:$AH$47</c:f>
            </c:numRef>
          </c:val>
          <c:extLst>
            <c:ext xmlns:c16="http://schemas.microsoft.com/office/drawing/2014/chart" uri="{C3380CC4-5D6E-409C-BE32-E72D297353CC}">
              <c16:uniqueId val="{00000005-2F25-45C8-98C5-B59ED7CF3DEA}"/>
            </c:ext>
          </c:extLst>
        </c:ser>
        <c:ser>
          <c:idx val="6"/>
          <c:order val="6"/>
          <c:tx>
            <c:strRef>
              <c:f>'tulu 1m3 vee müügist'!$AI$1:$AI$2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1.3170159823906593</c:v>
                </c:pt>
                <c:pt idx="2">
                  <c:v>1.2230369679931448</c:v>
                </c:pt>
                <c:pt idx="3">
                  <c:v>0</c:v>
                </c:pt>
                <c:pt idx="4">
                  <c:v>1.1052542996896859</c:v>
                </c:pt>
                <c:pt idx="5">
                  <c:v>1.0367409423371321</c:v>
                </c:pt>
                <c:pt idx="6">
                  <c:v>1.2880641653072322</c:v>
                </c:pt>
                <c:pt idx="7">
                  <c:v>0.94805038992201551</c:v>
                </c:pt>
                <c:pt idx="8">
                  <c:v>1.5679715159765872</c:v>
                </c:pt>
                <c:pt idx="9">
                  <c:v>1.0972785031767474</c:v>
                </c:pt>
                <c:pt idx="10">
                  <c:v>0.89002419034552482</c:v>
                </c:pt>
                <c:pt idx="11">
                  <c:v>1.4299891131396032</c:v>
                </c:pt>
                <c:pt idx="12">
                  <c:v>1.4325026511134678</c:v>
                </c:pt>
                <c:pt idx="13">
                  <c:v>1.1199999999999999</c:v>
                </c:pt>
                <c:pt idx="14">
                  <c:v>1.8734596020139054</c:v>
                </c:pt>
                <c:pt idx="15">
                  <c:v>1.2698948162427188</c:v>
                </c:pt>
                <c:pt idx="16">
                  <c:v>1.3039635313359086</c:v>
                </c:pt>
                <c:pt idx="17">
                  <c:v>0.95484208960436701</c:v>
                </c:pt>
                <c:pt idx="18">
                  <c:v>0</c:v>
                </c:pt>
                <c:pt idx="19">
                  <c:v>1.3300124155891351</c:v>
                </c:pt>
                <c:pt idx="20">
                  <c:v>0.97741929418842943</c:v>
                </c:pt>
                <c:pt idx="21">
                  <c:v>0.69062641713126338</c:v>
                </c:pt>
                <c:pt idx="22">
                  <c:v>1.5586221389419119</c:v>
                </c:pt>
                <c:pt idx="23">
                  <c:v>0.98750596740094121</c:v>
                </c:pt>
                <c:pt idx="24">
                  <c:v>1.1999979769575464</c:v>
                </c:pt>
                <c:pt idx="25">
                  <c:v>0.75999478707193846</c:v>
                </c:pt>
                <c:pt idx="26">
                  <c:v>0</c:v>
                </c:pt>
                <c:pt idx="27">
                  <c:v>0.96162377994676129</c:v>
                </c:pt>
                <c:pt idx="28">
                  <c:v>1.4423984407057859</c:v>
                </c:pt>
                <c:pt idx="29">
                  <c:v>1.0376768830509551</c:v>
                </c:pt>
                <c:pt idx="30">
                  <c:v>1.6927796679170664</c:v>
                </c:pt>
                <c:pt idx="31">
                  <c:v>2.3201158990650681</c:v>
                </c:pt>
                <c:pt idx="32">
                  <c:v>1.0499926026549744</c:v>
                </c:pt>
                <c:pt idx="33">
                  <c:v>0.61598625682557206</c:v>
                </c:pt>
                <c:pt idx="34">
                  <c:v>1.5804729214340199</c:v>
                </c:pt>
                <c:pt idx="35">
                  <c:v>1.2487630706452435</c:v>
                </c:pt>
                <c:pt idx="36">
                  <c:v>1.043227665706052</c:v>
                </c:pt>
                <c:pt idx="37">
                  <c:v>0.8793018659590065</c:v>
                </c:pt>
                <c:pt idx="38">
                  <c:v>1.4650305982265519</c:v>
                </c:pt>
                <c:pt idx="39">
                  <c:v>0.77000163795285681</c:v>
                </c:pt>
                <c:pt idx="40">
                  <c:v>0.93377192982456148</c:v>
                </c:pt>
                <c:pt idx="41">
                  <c:v>1.0136762845896523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25-45C8-98C5-B59ED7CF3DEA}"/>
            </c:ext>
          </c:extLst>
        </c:ser>
        <c:ser>
          <c:idx val="7"/>
          <c:order val="7"/>
          <c:tx>
            <c:strRef>
              <c:f>'tulu 1m3 vee müügist'!$AJ$1:$AJ$2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vee müügist'!$AJ$3:$AJ$47</c:f>
            </c:numRef>
          </c:val>
          <c:extLst>
            <c:ext xmlns:c16="http://schemas.microsoft.com/office/drawing/2014/chart" uri="{C3380CC4-5D6E-409C-BE32-E72D297353CC}">
              <c16:uniqueId val="{00000007-2F25-45C8-98C5-B59ED7CF3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88296"/>
        <c:axId val="421895352"/>
      </c:barChart>
      <c:catAx>
        <c:axId val="421888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95352"/>
        <c:crosses val="autoZero"/>
        <c:auto val="1"/>
        <c:lblAlgn val="ctr"/>
        <c:lblOffset val="100"/>
        <c:noMultiLvlLbl val="0"/>
      </c:catAx>
      <c:valAx>
        <c:axId val="421895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88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01.01.2018-31.12.2018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'!$AC$3:$AC$47</c:f>
            </c:numRef>
          </c:val>
          <c:extLst>
            <c:ext xmlns:c16="http://schemas.microsoft.com/office/drawing/2014/chart" uri="{C3380CC4-5D6E-409C-BE32-E72D297353CC}">
              <c16:uniqueId val="{00000000-FF19-4DC0-91C7-914F00D8080F}"/>
            </c:ext>
          </c:extLst>
        </c:ser>
        <c:ser>
          <c:idx val="1"/>
          <c:order val="1"/>
          <c:tx>
            <c:strRef>
              <c:f>'tulu 1m3 kanali müügist 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'!$AD$3:$AD$47</c:f>
            </c:numRef>
          </c:val>
          <c:extLst>
            <c:ext xmlns:c16="http://schemas.microsoft.com/office/drawing/2014/chart" uri="{C3380CC4-5D6E-409C-BE32-E72D297353CC}">
              <c16:uniqueId val="{00000001-FF19-4DC0-91C7-914F00D8080F}"/>
            </c:ext>
          </c:extLst>
        </c:ser>
        <c:ser>
          <c:idx val="2"/>
          <c:order val="2"/>
          <c:tx>
            <c:strRef>
              <c:f>'tulu 1m3 kanali müügist 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'!$AE$3:$AE$47</c:f>
            </c:numRef>
          </c:val>
          <c:extLst>
            <c:ext xmlns:c16="http://schemas.microsoft.com/office/drawing/2014/chart" uri="{C3380CC4-5D6E-409C-BE32-E72D297353CC}">
              <c16:uniqueId val="{00000002-FF19-4DC0-91C7-914F00D8080F}"/>
            </c:ext>
          </c:extLst>
        </c:ser>
        <c:ser>
          <c:idx val="3"/>
          <c:order val="3"/>
          <c:tx>
            <c:strRef>
              <c:f>'tulu 1m3 kanali müügist 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'!$AF$3:$AF$47</c:f>
            </c:numRef>
          </c:val>
          <c:extLst>
            <c:ext xmlns:c16="http://schemas.microsoft.com/office/drawing/2014/chart" uri="{C3380CC4-5D6E-409C-BE32-E72D297353CC}">
              <c16:uniqueId val="{00000003-FF19-4DC0-91C7-914F00D8080F}"/>
            </c:ext>
          </c:extLst>
        </c:ser>
        <c:ser>
          <c:idx val="4"/>
          <c:order val="4"/>
          <c:tx>
            <c:strRef>
              <c:f>'tulu 1m3 kanali müügist 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'!$AG$3:$AG$47</c:f>
            </c:numRef>
          </c:val>
          <c:extLst>
            <c:ext xmlns:c16="http://schemas.microsoft.com/office/drawing/2014/chart" uri="{C3380CC4-5D6E-409C-BE32-E72D297353CC}">
              <c16:uniqueId val="{00000004-FF19-4DC0-91C7-914F00D8080F}"/>
            </c:ext>
          </c:extLst>
        </c:ser>
        <c:ser>
          <c:idx val="5"/>
          <c:order val="5"/>
          <c:tx>
            <c:strRef>
              <c:f>'tulu 1m3 kanali müügist 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'!$AH$3:$AH$47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1.579214769583055</c:v>
                </c:pt>
                <c:pt idx="2">
                  <c:v>1.49517511212902</c:v>
                </c:pt>
                <c:pt idx="3">
                  <c:v>0.69144852244769861</c:v>
                </c:pt>
                <c:pt idx="4">
                  <c:v>1.4184192355117138</c:v>
                </c:pt>
                <c:pt idx="5">
                  <c:v>1.7248396372483965</c:v>
                </c:pt>
                <c:pt idx="6">
                  <c:v>1.91617816857625</c:v>
                </c:pt>
                <c:pt idx="7">
                  <c:v>1.1295253117019679</c:v>
                </c:pt>
                <c:pt idx="8">
                  <c:v>0.72341867558559947</c:v>
                </c:pt>
                <c:pt idx="9">
                  <c:v>1.8419518956636791</c:v>
                </c:pt>
                <c:pt idx="10">
                  <c:v>1.99000883572351</c:v>
                </c:pt>
                <c:pt idx="11">
                  <c:v>1.5650097894274182</c:v>
                </c:pt>
                <c:pt idx="12">
                  <c:v>1.9763451206799776</c:v>
                </c:pt>
                <c:pt idx="13">
                  <c:v>1.369987318499821</c:v>
                </c:pt>
                <c:pt idx="14">
                  <c:v>1.8099997939036707</c:v>
                </c:pt>
                <c:pt idx="15">
                  <c:v>2.0902386813657281</c:v>
                </c:pt>
                <c:pt idx="16">
                  <c:v>2.3398755385351842</c:v>
                </c:pt>
                <c:pt idx="17">
                  <c:v>1.706899118029944</c:v>
                </c:pt>
                <c:pt idx="18">
                  <c:v>0</c:v>
                </c:pt>
                <c:pt idx="19">
                  <c:v>1.6700008820675665</c:v>
                </c:pt>
                <c:pt idx="20">
                  <c:v>2.5055051095106404</c:v>
                </c:pt>
                <c:pt idx="21">
                  <c:v>1.3760080542884012</c:v>
                </c:pt>
                <c:pt idx="22">
                  <c:v>1.5965812835818725</c:v>
                </c:pt>
                <c:pt idx="23">
                  <c:v>1.4864902434362566</c:v>
                </c:pt>
                <c:pt idx="24">
                  <c:v>1.149999663677884</c:v>
                </c:pt>
                <c:pt idx="25">
                  <c:v>1.1400027623037614</c:v>
                </c:pt>
                <c:pt idx="26">
                  <c:v>0</c:v>
                </c:pt>
                <c:pt idx="27">
                  <c:v>1.2977464915437209</c:v>
                </c:pt>
                <c:pt idx="28">
                  <c:v>1.3126767833722235</c:v>
                </c:pt>
                <c:pt idx="29">
                  <c:v>0.83003509774313344</c:v>
                </c:pt>
                <c:pt idx="30">
                  <c:v>1.6899979436016159</c:v>
                </c:pt>
                <c:pt idx="31">
                  <c:v>0.77999999596047376</c:v>
                </c:pt>
                <c:pt idx="32">
                  <c:v>1.1799988958816385</c:v>
                </c:pt>
                <c:pt idx="33">
                  <c:v>1.0851994351489109</c:v>
                </c:pt>
                <c:pt idx="34">
                  <c:v>1.6528919047871495</c:v>
                </c:pt>
                <c:pt idx="35">
                  <c:v>1.3582561797752808</c:v>
                </c:pt>
                <c:pt idx="36">
                  <c:v>1.6000933778926085</c:v>
                </c:pt>
                <c:pt idx="37">
                  <c:v>1.9149055126914905</c:v>
                </c:pt>
                <c:pt idx="38">
                  <c:v>1.9452653622502958</c:v>
                </c:pt>
                <c:pt idx="39">
                  <c:v>1.0799996152662357</c:v>
                </c:pt>
                <c:pt idx="40">
                  <c:v>1.3446193602826779</c:v>
                </c:pt>
                <c:pt idx="41">
                  <c:v>1.5235285652611885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19-4DC0-91C7-914F00D8080F}"/>
            </c:ext>
          </c:extLst>
        </c:ser>
        <c:ser>
          <c:idx val="6"/>
          <c:order val="6"/>
          <c:tx>
            <c:strRef>
              <c:f>'tulu 1m3 kanali müügist '!$AI$1:$AI$2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'!$AI$3:$AI$47</c:f>
            </c:numRef>
          </c:val>
          <c:extLst>
            <c:ext xmlns:c16="http://schemas.microsoft.com/office/drawing/2014/chart" uri="{C3380CC4-5D6E-409C-BE32-E72D297353CC}">
              <c16:uniqueId val="{00000006-FF19-4DC0-91C7-914F00D8080F}"/>
            </c:ext>
          </c:extLst>
        </c:ser>
        <c:ser>
          <c:idx val="7"/>
          <c:order val="7"/>
          <c:tx>
            <c:strRef>
              <c:f>'tulu 1m3 kanali müügist 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'tulu 1m3 kanali müügist 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1.752218156298561</c:v>
                </c:pt>
                <c:pt idx="2">
                  <c:v>1.6693970685921824</c:v>
                </c:pt>
                <c:pt idx="3">
                  <c:v>0</c:v>
                </c:pt>
                <c:pt idx="4">
                  <c:v>1.499746061188213</c:v>
                </c:pt>
                <c:pt idx="5">
                  <c:v>1.6145805414098098</c:v>
                </c:pt>
                <c:pt idx="6">
                  <c:v>1.9356390428058214</c:v>
                </c:pt>
                <c:pt idx="7">
                  <c:v>1.1294541091781642</c:v>
                </c:pt>
                <c:pt idx="8">
                  <c:v>0.72852936321571005</c:v>
                </c:pt>
                <c:pt idx="9">
                  <c:v>1.7670264312600075</c:v>
                </c:pt>
                <c:pt idx="10">
                  <c:v>1.9899559927517476</c:v>
                </c:pt>
                <c:pt idx="11">
                  <c:v>1.5862844588586074</c:v>
                </c:pt>
                <c:pt idx="12">
                  <c:v>2.0142352563416459</c:v>
                </c:pt>
                <c:pt idx="13">
                  <c:v>2.0809453471196453</c:v>
                </c:pt>
                <c:pt idx="14">
                  <c:v>2.7701660735468563</c:v>
                </c:pt>
                <c:pt idx="15">
                  <c:v>2.2902318293508066</c:v>
                </c:pt>
                <c:pt idx="16">
                  <c:v>2.3439729174223189</c:v>
                </c:pt>
                <c:pt idx="17">
                  <c:v>2.1628080565520253</c:v>
                </c:pt>
                <c:pt idx="18">
                  <c:v>0</c:v>
                </c:pt>
                <c:pt idx="19">
                  <c:v>1.6699894396620691</c:v>
                </c:pt>
                <c:pt idx="20">
                  <c:v>2.9404952342864759</c:v>
                </c:pt>
                <c:pt idx="21">
                  <c:v>1.2676582262774327</c:v>
                </c:pt>
                <c:pt idx="22">
                  <c:v>1.6645012224625901</c:v>
                </c:pt>
                <c:pt idx="23">
                  <c:v>1.0722653945350034</c:v>
                </c:pt>
                <c:pt idx="24">
                  <c:v>1.1500001313566781</c:v>
                </c:pt>
                <c:pt idx="25">
                  <c:v>1.1400028817059698</c:v>
                </c:pt>
                <c:pt idx="26">
                  <c:v>0</c:v>
                </c:pt>
                <c:pt idx="27">
                  <c:v>1.3035686335889811</c:v>
                </c:pt>
                <c:pt idx="28">
                  <c:v>1.9703386801988991</c:v>
                </c:pt>
                <c:pt idx="29">
                  <c:v>1.1394787011523528</c:v>
                </c:pt>
                <c:pt idx="30">
                  <c:v>2.5431052679190667</c:v>
                </c:pt>
                <c:pt idx="31">
                  <c:v>1.7222035550367367</c:v>
                </c:pt>
                <c:pt idx="32">
                  <c:v>1.3700026869175399</c:v>
                </c:pt>
                <c:pt idx="33">
                  <c:v>1.5922182234810607</c:v>
                </c:pt>
                <c:pt idx="34">
                  <c:v>2.2015956097673457</c:v>
                </c:pt>
                <c:pt idx="35">
                  <c:v>1.4651670446987397</c:v>
                </c:pt>
                <c:pt idx="36">
                  <c:v>1.6153389487211722</c:v>
                </c:pt>
                <c:pt idx="37">
                  <c:v>1.9148966870599098</c:v>
                </c:pt>
                <c:pt idx="38">
                  <c:v>2.1658503347619145</c:v>
                </c:pt>
                <c:pt idx="39">
                  <c:v>1.2236236729304004</c:v>
                </c:pt>
                <c:pt idx="40">
                  <c:v>1.2786577181208054</c:v>
                </c:pt>
                <c:pt idx="41">
                  <c:v>1.530674985762452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19-4DC0-91C7-914F00D8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88688"/>
        <c:axId val="421889080"/>
      </c:barChart>
      <c:catAx>
        <c:axId val="42188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89080"/>
        <c:crosses val="autoZero"/>
        <c:auto val="1"/>
        <c:lblAlgn val="ctr"/>
        <c:lblOffset val="100"/>
        <c:noMultiLvlLbl val="0"/>
      </c:catAx>
      <c:valAx>
        <c:axId val="421889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8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31.12.2018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1 '!$AP$3:$AP$44</c:f>
              <c:numCache>
                <c:formatCode>0.00</c:formatCode>
                <c:ptCount val="42"/>
                <c:pt idx="1">
                  <c:v>3.4809999999999999</c:v>
                </c:pt>
                <c:pt idx="2">
                  <c:v>3.2680968957300842</c:v>
                </c:pt>
                <c:pt idx="3">
                  <c:v>1.494</c:v>
                </c:pt>
                <c:pt idx="4">
                  <c:v>2.8115811080969344</c:v>
                </c:pt>
                <c:pt idx="5">
                  <c:v>3.024</c:v>
                </c:pt>
                <c:pt idx="6">
                  <c:v>3.9</c:v>
                </c:pt>
                <c:pt idx="7">
                  <c:v>2.5</c:v>
                </c:pt>
                <c:pt idx="8">
                  <c:v>2.3315999999999999</c:v>
                </c:pt>
                <c:pt idx="9">
                  <c:v>3.5256000000000003</c:v>
                </c:pt>
                <c:pt idx="10">
                  <c:v>3.456</c:v>
                </c:pt>
                <c:pt idx="11">
                  <c:v>3.51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3.7560000000000002</c:v>
                </c:pt>
                <c:pt idx="15">
                  <c:v>3.8280000000000003</c:v>
                </c:pt>
                <c:pt idx="16">
                  <c:v>4.3680000000000003</c:v>
                </c:pt>
                <c:pt idx="17">
                  <c:v>3.1268382064165277</c:v>
                </c:pt>
                <c:pt idx="18">
                  <c:v>3.8159999999999998</c:v>
                </c:pt>
                <c:pt idx="19">
                  <c:v>3.6</c:v>
                </c:pt>
                <c:pt idx="20">
                  <c:v>4.1495999999999995</c:v>
                </c:pt>
                <c:pt idx="21">
                  <c:v>2.7</c:v>
                </c:pt>
                <c:pt idx="22">
                  <c:v>3.516</c:v>
                </c:pt>
                <c:pt idx="23">
                  <c:v>2.6760000000000002</c:v>
                </c:pt>
                <c:pt idx="24">
                  <c:v>2.82</c:v>
                </c:pt>
                <c:pt idx="25">
                  <c:v>2.2800000000000002</c:v>
                </c:pt>
                <c:pt idx="26">
                  <c:v>5.0399999999999991</c:v>
                </c:pt>
                <c:pt idx="27">
                  <c:v>2.6879999999999997</c:v>
                </c:pt>
                <c:pt idx="28">
                  <c:v>3.0804</c:v>
                </c:pt>
                <c:pt idx="29">
                  <c:v>2.1120000000000001</c:v>
                </c:pt>
                <c:pt idx="30">
                  <c:v>3.3719999999999999</c:v>
                </c:pt>
                <c:pt idx="31">
                  <c:v>2.08</c:v>
                </c:pt>
                <c:pt idx="32">
                  <c:v>2.496</c:v>
                </c:pt>
                <c:pt idx="33">
                  <c:v>2.0350000000000001</c:v>
                </c:pt>
                <c:pt idx="34">
                  <c:v>3.7559999999999998</c:v>
                </c:pt>
                <c:pt idx="35">
                  <c:v>2.9929999999999999</c:v>
                </c:pt>
                <c:pt idx="36">
                  <c:v>3.137</c:v>
                </c:pt>
                <c:pt idx="37">
                  <c:v>3.3529999999999998</c:v>
                </c:pt>
                <c:pt idx="38">
                  <c:v>3.84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0">
                  <c:v>31.12.2018</c:v>
                </c:pt>
                <c:pt idx="1">
                  <c:v>Abja Elamu OÜ*</c:v>
                </c:pt>
                <c:pt idx="2">
                  <c:v>Emajõe Veevärk AS*</c:v>
                </c:pt>
                <c:pt idx="3">
                  <c:v>EsmarVesi OÜ**</c:v>
                </c:pt>
                <c:pt idx="4">
                  <c:v>Haapsalu Veevärk AS*</c:v>
                </c:pt>
                <c:pt idx="5">
                  <c:v>Häädemeeste VK AS</c:v>
                </c:pt>
                <c:pt idx="6">
                  <c:v>Iivakivi AS**</c:v>
                </c:pt>
                <c:pt idx="7">
                  <c:v>Järvakandi Komm.OÜ</c:v>
                </c:pt>
                <c:pt idx="8">
                  <c:v>Järve Biopuhastus OÜ*</c:v>
                </c:pt>
                <c:pt idx="9">
                  <c:v>Jõgeva Veevärk OÜ**</c:v>
                </c:pt>
                <c:pt idx="10">
                  <c:v>Kadrina Soojus AS</c:v>
                </c:pt>
                <c:pt idx="11">
                  <c:v>Kärdla Veevärk AS*</c:v>
                </c:pt>
                <c:pt idx="12">
                  <c:v>Kehtna elamu OÜ**</c:v>
                </c:pt>
                <c:pt idx="13">
                  <c:v>Keila Vesi AS</c:v>
                </c:pt>
                <c:pt idx="14">
                  <c:v>Kiili KVH OÜ</c:v>
                </c:pt>
                <c:pt idx="15">
                  <c:v>Kohila Maja OÜ</c:v>
                </c:pt>
                <c:pt idx="16">
                  <c:v>Kose Vesi OÜ</c:v>
                </c:pt>
                <c:pt idx="17">
                  <c:v>Kuressaare Veevärk AS*</c:v>
                </c:pt>
                <c:pt idx="18">
                  <c:v>Lahevesi AS**</c:v>
                </c:pt>
                <c:pt idx="19">
                  <c:v>Matsalu Veevärk AS</c:v>
                </c:pt>
                <c:pt idx="20">
                  <c:v>Paide Vesi AS*</c:v>
                </c:pt>
                <c:pt idx="21">
                  <c:v>Pärnu Vesi AS**</c:v>
                </c:pt>
                <c:pt idx="22">
                  <c:v>Põltsamaa Varahalduse OÜ**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Raven OÜ</c:v>
                </c:pt>
                <c:pt idx="27">
                  <c:v>Saarde Kommunaal OÜ</c:v>
                </c:pt>
                <c:pt idx="28">
                  <c:v>Saku Maja AS*</c:v>
                </c:pt>
                <c:pt idx="29">
                  <c:v>Sillamäe Veevärk AS</c:v>
                </c:pt>
                <c:pt idx="30">
                  <c:v>Strantum OÜ</c:v>
                </c:pt>
                <c:pt idx="31">
                  <c:v>Tallinna Vesi AS**</c:v>
                </c:pt>
                <c:pt idx="32">
                  <c:v>Tapa Vesi OÜ</c:v>
                </c:pt>
                <c:pt idx="33">
                  <c:v>Tartu Veevärk AS</c:v>
                </c:pt>
                <c:pt idx="34">
                  <c:v>Toila V.V AS</c:v>
                </c:pt>
                <c:pt idx="35">
                  <c:v>Türi Vesi OÜ**</c:v>
                </c:pt>
                <c:pt idx="36">
                  <c:v>Valga Vesi AS**</c:v>
                </c:pt>
                <c:pt idx="37">
                  <c:v>Velko AV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Võhma ELKO*</c:v>
                </c:pt>
                <c:pt idx="41">
                  <c:v>Võru Vesi**</c:v>
                </c:pt>
              </c:strCache>
            </c:strRef>
          </c:cat>
          <c:val>
            <c:numRef>
              <c:f>'graafik 1 '!$AQ$3:$AQ$44</c:f>
              <c:numCache>
                <c:formatCode>0.00</c:formatCode>
                <c:ptCount val="42"/>
                <c:pt idx="1">
                  <c:v>3.6819999999999999</c:v>
                </c:pt>
                <c:pt idx="2">
                  <c:v>3.470920843902392</c:v>
                </c:pt>
                <c:pt idx="3">
                  <c:v>0</c:v>
                </c:pt>
                <c:pt idx="4">
                  <c:v>3.1260004330534787</c:v>
                </c:pt>
                <c:pt idx="5">
                  <c:v>3.024</c:v>
                </c:pt>
                <c:pt idx="6">
                  <c:v>4.0919999999999996</c:v>
                </c:pt>
                <c:pt idx="7">
                  <c:v>2.5</c:v>
                </c:pt>
                <c:pt idx="8">
                  <c:v>2.7563999999999997</c:v>
                </c:pt>
                <c:pt idx="9">
                  <c:v>3.4727999999999994</c:v>
                </c:pt>
                <c:pt idx="10">
                  <c:v>3.456</c:v>
                </c:pt>
                <c:pt idx="11">
                  <c:v>3.6179999999999999</c:v>
                </c:pt>
                <c:pt idx="12">
                  <c:v>4.2780000000000005</c:v>
                </c:pt>
                <c:pt idx="13">
                  <c:v>2.988</c:v>
                </c:pt>
                <c:pt idx="14">
                  <c:v>5.52</c:v>
                </c:pt>
                <c:pt idx="15">
                  <c:v>4.4039999999999999</c:v>
                </c:pt>
                <c:pt idx="16">
                  <c:v>4.3680000000000003</c:v>
                </c:pt>
                <c:pt idx="17">
                  <c:v>3.7395528824732476</c:v>
                </c:pt>
                <c:pt idx="18">
                  <c:v>3.8159999999999998</c:v>
                </c:pt>
                <c:pt idx="19">
                  <c:v>3.6</c:v>
                </c:pt>
                <c:pt idx="20">
                  <c:v>4.7004000000000001</c:v>
                </c:pt>
                <c:pt idx="21">
                  <c:v>2.7</c:v>
                </c:pt>
                <c:pt idx="22">
                  <c:v>3.7800000000000002</c:v>
                </c:pt>
                <c:pt idx="23">
                  <c:v>3.1679999999999997</c:v>
                </c:pt>
                <c:pt idx="24">
                  <c:v>2.82</c:v>
                </c:pt>
                <c:pt idx="25">
                  <c:v>2.2800000000000002</c:v>
                </c:pt>
                <c:pt idx="26">
                  <c:v>5.4399999999999995</c:v>
                </c:pt>
                <c:pt idx="27">
                  <c:v>2.6879999999999997</c:v>
                </c:pt>
                <c:pt idx="28">
                  <c:v>4.0944000000000003</c:v>
                </c:pt>
                <c:pt idx="29">
                  <c:v>2.4239999999999999</c:v>
                </c:pt>
                <c:pt idx="30">
                  <c:v>5.6280000000000001</c:v>
                </c:pt>
                <c:pt idx="31">
                  <c:v>4.84</c:v>
                </c:pt>
                <c:pt idx="32">
                  <c:v>2.9039999999999999</c:v>
                </c:pt>
                <c:pt idx="33">
                  <c:v>2.0350000000000001</c:v>
                </c:pt>
                <c:pt idx="34">
                  <c:v>3.7559999999999998</c:v>
                </c:pt>
                <c:pt idx="35">
                  <c:v>3.258</c:v>
                </c:pt>
                <c:pt idx="36">
                  <c:v>3.1890000000000001</c:v>
                </c:pt>
                <c:pt idx="37">
                  <c:v>3.3529999999999998</c:v>
                </c:pt>
                <c:pt idx="38">
                  <c:v>4.4000000000000004</c:v>
                </c:pt>
                <c:pt idx="39">
                  <c:v>2.2200000000000002</c:v>
                </c:pt>
                <c:pt idx="40">
                  <c:v>3</c:v>
                </c:pt>
                <c:pt idx="41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91824"/>
        <c:axId val="421895744"/>
      </c:barChart>
      <c:catAx>
        <c:axId val="42189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1895744"/>
        <c:crosses val="autoZero"/>
        <c:auto val="1"/>
        <c:lblAlgn val="ctr"/>
        <c:lblOffset val="100"/>
        <c:noMultiLvlLbl val="0"/>
      </c:catAx>
      <c:valAx>
        <c:axId val="42189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89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24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552449</xdr:colOff>
      <xdr:row>0</xdr:row>
      <xdr:rowOff>123831</xdr:rowOff>
    </xdr:from>
    <xdr:to>
      <xdr:col>72</xdr:col>
      <xdr:colOff>323850</xdr:colOff>
      <xdr:row>31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8</xdr:row>
      <xdr:rowOff>19050</xdr:rowOff>
    </xdr:from>
    <xdr:to>
      <xdr:col>62</xdr:col>
      <xdr:colOff>381000</xdr:colOff>
      <xdr:row>33</xdr:row>
      <xdr:rowOff>66675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11</xdr:row>
      <xdr:rowOff>152400</xdr:rowOff>
    </xdr:from>
    <xdr:to>
      <xdr:col>65</xdr:col>
      <xdr:colOff>228600</xdr:colOff>
      <xdr:row>31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8</xdr:row>
      <xdr:rowOff>114299</xdr:rowOff>
    </xdr:from>
    <xdr:to>
      <xdr:col>58</xdr:col>
      <xdr:colOff>428625</xdr:colOff>
      <xdr:row>34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295276</xdr:colOff>
      <xdr:row>11</xdr:row>
      <xdr:rowOff>171450</xdr:rowOff>
    </xdr:from>
    <xdr:to>
      <xdr:col>63</xdr:col>
      <xdr:colOff>495300</xdr:colOff>
      <xdr:row>30</xdr:row>
      <xdr:rowOff>61912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33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11</xdr:row>
      <xdr:rowOff>152399</xdr:rowOff>
    </xdr:from>
    <xdr:to>
      <xdr:col>62</xdr:col>
      <xdr:colOff>266700</xdr:colOff>
      <xdr:row>34</xdr:row>
      <xdr:rowOff>47624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30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9</xdr:row>
      <xdr:rowOff>133350</xdr:rowOff>
    </xdr:from>
    <xdr:to>
      <xdr:col>57</xdr:col>
      <xdr:colOff>95250</xdr:colOff>
      <xdr:row>31</xdr:row>
      <xdr:rowOff>90487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9</xdr:row>
      <xdr:rowOff>104775</xdr:rowOff>
    </xdr:from>
    <xdr:to>
      <xdr:col>57</xdr:col>
      <xdr:colOff>209550</xdr:colOff>
      <xdr:row>27</xdr:row>
      <xdr:rowOff>57156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8" sqref="J28"/>
    </sheetView>
  </sheetViews>
  <sheetFormatPr defaultRowHeight="15" x14ac:dyDescent="0.25"/>
  <cols>
    <col min="1" max="1" width="25.42578125" style="4" customWidth="1"/>
    <col min="2" max="2" width="14.85546875" style="4" customWidth="1"/>
    <col min="3" max="3" width="13" style="4" hidden="1" customWidth="1"/>
    <col min="4" max="4" width="9.7109375" customWidth="1"/>
    <col min="5" max="6" width="9.140625" customWidth="1"/>
    <col min="7" max="7" width="9.5703125" customWidth="1"/>
    <col min="8" max="9" width="9.140625" customWidth="1"/>
    <col min="10" max="10" width="10.28515625" customWidth="1"/>
    <col min="11" max="19" width="9.140625" customWidth="1"/>
    <col min="20" max="20" width="10.5703125" customWidth="1"/>
    <col min="21" max="21" width="9.140625" customWidth="1"/>
    <col min="22" max="22" width="9.85546875" customWidth="1"/>
    <col min="23" max="23" width="10.140625" customWidth="1"/>
    <col min="24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  <col min="43" max="43" width="19.28515625" customWidth="1"/>
    <col min="44" max="44" width="14.42578125" customWidth="1"/>
    <col min="45" max="45" width="16.85546875" customWidth="1"/>
    <col min="46" max="46" width="14.5703125" customWidth="1"/>
    <col min="47" max="47" width="13.85546875" customWidth="1"/>
    <col min="48" max="48" width="13.28515625" customWidth="1"/>
  </cols>
  <sheetData>
    <row r="1" spans="1:48" x14ac:dyDescent="0.25">
      <c r="AE1" s="8" t="s">
        <v>0</v>
      </c>
      <c r="AF1" s="9"/>
      <c r="AG1" s="8" t="s">
        <v>0</v>
      </c>
      <c r="AH1" s="9"/>
      <c r="AI1" s="16" t="s">
        <v>1</v>
      </c>
      <c r="AJ1" s="16"/>
      <c r="AK1" s="18" t="s">
        <v>2</v>
      </c>
      <c r="AL1" s="19"/>
      <c r="AM1" s="11" t="s">
        <v>3</v>
      </c>
      <c r="AN1" s="12"/>
      <c r="AO1" s="12"/>
      <c r="AP1" s="13"/>
      <c r="AQ1" s="75"/>
      <c r="AR1" s="76"/>
      <c r="AS1" s="75"/>
      <c r="AT1" s="76"/>
      <c r="AU1" s="75"/>
      <c r="AV1" s="76"/>
    </row>
    <row r="2" spans="1:48" x14ac:dyDescent="0.25">
      <c r="A2" s="2"/>
      <c r="B2" s="27" t="s">
        <v>4</v>
      </c>
      <c r="C2" s="25" t="s">
        <v>5</v>
      </c>
      <c r="D2" s="77" t="s">
        <v>6</v>
      </c>
      <c r="E2" s="78"/>
      <c r="F2" s="79"/>
      <c r="G2" s="77" t="s">
        <v>7</v>
      </c>
      <c r="H2" s="78"/>
      <c r="I2" s="78"/>
      <c r="J2" s="43"/>
      <c r="K2" s="42" t="s">
        <v>8</v>
      </c>
      <c r="L2" s="43"/>
      <c r="M2" s="41" t="s">
        <v>9</v>
      </c>
      <c r="N2" s="43"/>
      <c r="O2" s="41" t="s">
        <v>10</v>
      </c>
      <c r="P2" s="43"/>
      <c r="Q2" s="41" t="s">
        <v>11</v>
      </c>
      <c r="R2" s="43"/>
      <c r="S2" s="41" t="s">
        <v>12</v>
      </c>
      <c r="T2" s="42"/>
      <c r="U2" s="43"/>
      <c r="V2" s="41" t="s">
        <v>13</v>
      </c>
      <c r="W2" s="42"/>
      <c r="X2" s="43"/>
      <c r="Y2" s="41" t="s">
        <v>14</v>
      </c>
      <c r="Z2" s="42"/>
      <c r="AA2" s="43"/>
      <c r="AB2" s="80" t="s">
        <v>15</v>
      </c>
      <c r="AC2" s="81"/>
      <c r="AD2" s="82"/>
      <c r="AE2" s="8" t="s">
        <v>16</v>
      </c>
      <c r="AF2" s="9"/>
      <c r="AG2" s="8" t="s">
        <v>17</v>
      </c>
      <c r="AH2" s="9"/>
      <c r="AI2" s="16" t="s">
        <v>16</v>
      </c>
      <c r="AJ2" s="16"/>
      <c r="AK2" s="16" t="s">
        <v>16</v>
      </c>
      <c r="AL2" s="16"/>
      <c r="AM2" s="11" t="s">
        <v>16</v>
      </c>
      <c r="AN2" s="13"/>
      <c r="AO2" s="11" t="s">
        <v>17</v>
      </c>
      <c r="AP2" s="13"/>
      <c r="AQ2" s="73"/>
      <c r="AR2" s="74"/>
      <c r="AS2" s="73"/>
      <c r="AT2" s="74"/>
      <c r="AU2" s="73"/>
      <c r="AV2" s="74"/>
    </row>
    <row r="3" spans="1:48" ht="21" x14ac:dyDescent="0.35">
      <c r="A3" s="3">
        <v>43465</v>
      </c>
      <c r="B3" s="28" t="s">
        <v>18</v>
      </c>
      <c r="C3" s="26">
        <v>2014</v>
      </c>
      <c r="D3" s="47" t="s">
        <v>19</v>
      </c>
      <c r="E3" s="47" t="s">
        <v>20</v>
      </c>
      <c r="F3" s="47" t="s">
        <v>21</v>
      </c>
      <c r="G3" s="7" t="s">
        <v>19</v>
      </c>
      <c r="H3" s="7" t="s">
        <v>22</v>
      </c>
      <c r="I3" s="7" t="s">
        <v>21</v>
      </c>
      <c r="J3" s="7" t="s">
        <v>23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19</v>
      </c>
      <c r="T3" s="47" t="s">
        <v>20</v>
      </c>
      <c r="U3" s="47" t="s">
        <v>24</v>
      </c>
      <c r="V3" s="47" t="s">
        <v>19</v>
      </c>
      <c r="W3" s="47" t="s">
        <v>20</v>
      </c>
      <c r="X3" s="47" t="s">
        <v>24</v>
      </c>
      <c r="Y3" s="47" t="s">
        <v>19</v>
      </c>
      <c r="Z3" s="47" t="s">
        <v>20</v>
      </c>
      <c r="AA3" s="47" t="s">
        <v>24</v>
      </c>
      <c r="AB3" s="47" t="s">
        <v>19</v>
      </c>
      <c r="AC3" s="47" t="s">
        <v>20</v>
      </c>
      <c r="AD3" s="47" t="s">
        <v>24</v>
      </c>
      <c r="AE3" s="10" t="s">
        <v>25</v>
      </c>
      <c r="AF3" s="10" t="s">
        <v>26</v>
      </c>
      <c r="AG3" s="10" t="s">
        <v>25</v>
      </c>
      <c r="AH3" s="10" t="s">
        <v>26</v>
      </c>
      <c r="AI3" s="17" t="s">
        <v>25</v>
      </c>
      <c r="AJ3" s="17" t="s">
        <v>26</v>
      </c>
      <c r="AK3" s="17" t="s">
        <v>25</v>
      </c>
      <c r="AL3" s="17" t="s">
        <v>26</v>
      </c>
      <c r="AM3" s="14" t="s">
        <v>25</v>
      </c>
      <c r="AN3" s="14" t="s">
        <v>26</v>
      </c>
      <c r="AO3" s="14" t="s">
        <v>25</v>
      </c>
      <c r="AP3" s="14" t="s">
        <v>26</v>
      </c>
      <c r="AQ3" s="48"/>
      <c r="AR3" s="48"/>
      <c r="AS3" s="48"/>
      <c r="AT3" s="48"/>
      <c r="AU3" s="48"/>
      <c r="AV3" s="48"/>
    </row>
    <row r="4" spans="1:48" s="4" customFormat="1" x14ac:dyDescent="0.25">
      <c r="A4" s="61" t="s">
        <v>27</v>
      </c>
      <c r="B4" s="40">
        <v>97.54</v>
      </c>
      <c r="C4" s="49">
        <v>109.489</v>
      </c>
      <c r="D4" s="49">
        <v>45.319000000000003</v>
      </c>
      <c r="E4" s="49">
        <v>20.898</v>
      </c>
      <c r="F4" s="49">
        <v>0</v>
      </c>
      <c r="G4" s="49">
        <v>41.923999999999999</v>
      </c>
      <c r="H4" s="49">
        <v>19.949000000000002</v>
      </c>
      <c r="I4" s="49">
        <v>0</v>
      </c>
      <c r="J4" s="49">
        <v>0</v>
      </c>
      <c r="K4" s="49">
        <v>1.3220000000000001</v>
      </c>
      <c r="L4" s="49">
        <v>1.3169999999999999</v>
      </c>
      <c r="M4" s="49">
        <v>1.579</v>
      </c>
      <c r="N4" s="49">
        <v>1.752</v>
      </c>
      <c r="O4" s="49">
        <v>1.5860000000000001</v>
      </c>
      <c r="P4" s="49">
        <v>1.58</v>
      </c>
      <c r="Q4" s="49">
        <v>1.895</v>
      </c>
      <c r="R4" s="49">
        <v>2.1019999999999999</v>
      </c>
      <c r="S4" s="50">
        <v>59.921999999999997</v>
      </c>
      <c r="T4" s="50">
        <v>27.523</v>
      </c>
      <c r="U4" s="50">
        <v>0</v>
      </c>
      <c r="V4" s="50">
        <v>66.206999999999994</v>
      </c>
      <c r="W4" s="50">
        <v>34.954999999999998</v>
      </c>
      <c r="X4" s="49">
        <v>0</v>
      </c>
      <c r="Y4" s="49"/>
      <c r="Z4" s="49"/>
      <c r="AA4" s="49">
        <v>0</v>
      </c>
      <c r="AB4" s="49"/>
      <c r="AC4" s="49"/>
      <c r="AD4" s="49">
        <v>0</v>
      </c>
      <c r="AE4" s="49">
        <f>Y4/D4</f>
        <v>0</v>
      </c>
      <c r="AF4" s="49">
        <f>AB4/G4</f>
        <v>0</v>
      </c>
      <c r="AG4" s="49">
        <f>(Z4+AA4)/(E4+F4)</f>
        <v>0</v>
      </c>
      <c r="AH4" s="49">
        <f>(AC4+AD4)/(H4+I4)</f>
        <v>0</v>
      </c>
      <c r="AI4" s="49">
        <f>K4+AE4</f>
        <v>1.3220000000000001</v>
      </c>
      <c r="AJ4" s="49">
        <f>M4+AF4</f>
        <v>1.579</v>
      </c>
      <c r="AK4" s="51">
        <f>AI4*1.2</f>
        <v>1.5864</v>
      </c>
      <c r="AL4" s="51">
        <f>AJ4*1.2</f>
        <v>1.8947999999999998</v>
      </c>
      <c r="AM4" s="51">
        <f t="shared" ref="AM4:AM24" si="0">(S4+Y4)/D4</f>
        <v>1.3222268805578232</v>
      </c>
      <c r="AN4" s="51">
        <f t="shared" ref="AN4:AN24" si="1">(V4+AB4)/G4</f>
        <v>1.579214769583055</v>
      </c>
      <c r="AO4" s="51">
        <f t="shared" ref="AO4:AO19" si="2">(T4+U4+Z4+AA4)/(E4+F4)</f>
        <v>1.3170159823906593</v>
      </c>
      <c r="AP4" s="51">
        <f t="shared" ref="AP4:AP24" si="3">(W4+X4+AC4+AD4)/(H4+I4)</f>
        <v>1.752218156298561</v>
      </c>
      <c r="AQ4" s="52"/>
      <c r="AR4" s="52"/>
      <c r="AS4" s="52"/>
      <c r="AT4" s="52"/>
      <c r="AU4" s="52"/>
      <c r="AV4" s="52"/>
    </row>
    <row r="5" spans="1:48" x14ac:dyDescent="0.25">
      <c r="A5" s="61" t="s">
        <v>28</v>
      </c>
      <c r="B5" s="40">
        <v>1110.578</v>
      </c>
      <c r="C5" s="49">
        <v>1662.13</v>
      </c>
      <c r="D5" s="53">
        <v>559.80799999999999</v>
      </c>
      <c r="E5" s="53">
        <v>266.06799999999998</v>
      </c>
      <c r="F5" s="53"/>
      <c r="G5" s="53">
        <v>523.95000000000005</v>
      </c>
      <c r="H5" s="53">
        <v>231.834</v>
      </c>
      <c r="I5" s="53"/>
      <c r="J5" s="53"/>
      <c r="K5" s="54">
        <f>S5/D5</f>
        <v>1.2282389676460501</v>
      </c>
      <c r="L5" s="54">
        <f>(T5+U5)/(E5+F5)</f>
        <v>1.2230369679931448</v>
      </c>
      <c r="M5" s="54">
        <f>V5/G5</f>
        <v>1.49517511212902</v>
      </c>
      <c r="N5" s="54">
        <f>(W5+X5)/(H5+I5)</f>
        <v>1.6693970685921824</v>
      </c>
      <c r="O5" s="55">
        <f>K5*1.2</f>
        <v>1.4738867611752602</v>
      </c>
      <c r="P5" s="55">
        <f>L5*1.2</f>
        <v>1.4676443615917736</v>
      </c>
      <c r="Q5" s="55">
        <f>M5*1.2</f>
        <v>1.794210134554824</v>
      </c>
      <c r="R5" s="55">
        <f>N5*1.2</f>
        <v>2.0032764823106186</v>
      </c>
      <c r="S5" s="53">
        <v>687.57799999999997</v>
      </c>
      <c r="T5" s="53">
        <v>325.411</v>
      </c>
      <c r="U5" s="53"/>
      <c r="V5" s="53">
        <v>783.39700000000005</v>
      </c>
      <c r="W5" s="53">
        <v>387.02300000000002</v>
      </c>
      <c r="X5" s="53"/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f t="shared" ref="AE5:AE42" si="4">Y5/D5</f>
        <v>0</v>
      </c>
      <c r="AF5" s="53">
        <f t="shared" ref="AF5:AF42" si="5">AB5/G5</f>
        <v>0</v>
      </c>
      <c r="AG5" s="53">
        <f t="shared" ref="AG5:AG42" si="6">(Z5+AA5)/(E5+F5)</f>
        <v>0</v>
      </c>
      <c r="AH5" s="53">
        <f t="shared" ref="AH5:AH42" si="7">(AC5+AD5)/(H5+I5)</f>
        <v>0</v>
      </c>
      <c r="AI5" s="53">
        <f t="shared" ref="AI5:AI42" si="8">K5+AE5</f>
        <v>1.2282389676460501</v>
      </c>
      <c r="AJ5" s="53">
        <f t="shared" ref="AJ5:AJ42" si="9">M5+AF5</f>
        <v>1.49517511212902</v>
      </c>
      <c r="AK5" s="55">
        <f t="shared" ref="AK5:AL42" si="10">AI5*1.2</f>
        <v>1.4738867611752602</v>
      </c>
      <c r="AL5" s="55">
        <f t="shared" si="10"/>
        <v>1.794210134554824</v>
      </c>
      <c r="AM5" s="55">
        <f t="shared" si="0"/>
        <v>1.2282389676460501</v>
      </c>
      <c r="AN5" s="55">
        <f t="shared" si="1"/>
        <v>1.49517511212902</v>
      </c>
      <c r="AO5" s="51">
        <f t="shared" si="2"/>
        <v>1.2230369679931448</v>
      </c>
      <c r="AP5" s="55">
        <f t="shared" si="3"/>
        <v>1.6693970685921824</v>
      </c>
      <c r="AQ5" s="56"/>
      <c r="AR5" s="56"/>
      <c r="AS5" s="56"/>
      <c r="AT5" s="56"/>
      <c r="AU5" s="56"/>
      <c r="AV5" s="56"/>
    </row>
    <row r="6" spans="1:48" s="15" customFormat="1" x14ac:dyDescent="0.25">
      <c r="A6" s="61" t="s">
        <v>29</v>
      </c>
      <c r="B6" s="36">
        <v>145.78399999999999</v>
      </c>
      <c r="C6" s="37">
        <v>233.28800000000001</v>
      </c>
      <c r="D6" s="37">
        <v>196.51</v>
      </c>
      <c r="E6" s="37">
        <v>0</v>
      </c>
      <c r="F6" s="37">
        <v>0</v>
      </c>
      <c r="G6" s="37">
        <v>178.43700000000001</v>
      </c>
      <c r="H6" s="37">
        <v>0</v>
      </c>
      <c r="I6" s="37">
        <v>0</v>
      </c>
      <c r="J6" s="37"/>
      <c r="K6" s="37">
        <v>0.73</v>
      </c>
      <c r="L6" s="37"/>
      <c r="M6" s="37">
        <v>0.59</v>
      </c>
      <c r="N6" s="37"/>
      <c r="O6" s="37">
        <v>0.78600000000000003</v>
      </c>
      <c r="P6" s="37"/>
      <c r="Q6" s="37">
        <v>0.70799999999999996</v>
      </c>
      <c r="R6" s="37"/>
      <c r="S6" s="37">
        <v>148.673</v>
      </c>
      <c r="T6" s="37"/>
      <c r="U6" s="37"/>
      <c r="V6" s="37">
        <v>110.239</v>
      </c>
      <c r="W6" s="37"/>
      <c r="X6" s="37"/>
      <c r="Y6" s="37">
        <v>18.125</v>
      </c>
      <c r="Z6" s="37"/>
      <c r="AA6" s="37"/>
      <c r="AB6" s="37">
        <v>13.141</v>
      </c>
      <c r="AC6" s="37"/>
      <c r="AD6" s="37"/>
      <c r="AE6" s="37">
        <f t="shared" si="4"/>
        <v>9.2234491883364716E-2</v>
      </c>
      <c r="AF6" s="37">
        <f t="shared" si="5"/>
        <v>7.3645039986101529E-2</v>
      </c>
      <c r="AG6" s="37"/>
      <c r="AH6" s="37"/>
      <c r="AI6" s="37">
        <f t="shared" si="8"/>
        <v>0.82223449188336473</v>
      </c>
      <c r="AJ6" s="37">
        <f t="shared" si="9"/>
        <v>0.66364503998610147</v>
      </c>
      <c r="AK6" s="38">
        <f t="shared" si="10"/>
        <v>0.98668139026003765</v>
      </c>
      <c r="AL6" s="38">
        <f t="shared" si="10"/>
        <v>0.79637404798332179</v>
      </c>
      <c r="AM6" s="38">
        <f t="shared" si="0"/>
        <v>0.84880158770546033</v>
      </c>
      <c r="AN6" s="38">
        <f t="shared" si="1"/>
        <v>0.69144852244769861</v>
      </c>
      <c r="AO6" s="38"/>
      <c r="AP6" s="38"/>
      <c r="AQ6" s="57"/>
      <c r="AR6" s="57"/>
      <c r="AS6" s="57"/>
      <c r="AT6" s="57"/>
      <c r="AU6" s="57"/>
      <c r="AV6" s="57"/>
    </row>
    <row r="7" spans="1:48" x14ac:dyDescent="0.25">
      <c r="A7" s="61" t="s">
        <v>30</v>
      </c>
      <c r="B7" s="40">
        <v>743.98</v>
      </c>
      <c r="C7" s="49">
        <v>1187.9110000000001</v>
      </c>
      <c r="D7" s="49">
        <v>431.113</v>
      </c>
      <c r="E7" s="49">
        <v>190.13</v>
      </c>
      <c r="F7" s="49">
        <v>0</v>
      </c>
      <c r="G7" s="49">
        <v>405.5</v>
      </c>
      <c r="H7" s="49">
        <v>181.14599999999999</v>
      </c>
      <c r="I7" s="49">
        <v>0</v>
      </c>
      <c r="J7" s="49"/>
      <c r="K7" s="50">
        <f>S7/D7</f>
        <v>0.9245650212357317</v>
      </c>
      <c r="L7" s="50">
        <f>T7/E7</f>
        <v>1.1052542996896859</v>
      </c>
      <c r="M7" s="50">
        <f>V7/G7</f>
        <v>1.4184192355117138</v>
      </c>
      <c r="N7" s="50">
        <f>W7/H7</f>
        <v>1.499746061188213</v>
      </c>
      <c r="O7" s="51">
        <f>K7*1.2</f>
        <v>1.109478025482878</v>
      </c>
      <c r="P7" s="51">
        <f>L7*1.2</f>
        <v>1.326305159627623</v>
      </c>
      <c r="Q7" s="51">
        <f>M7*1.2</f>
        <v>1.7021030826140564</v>
      </c>
      <c r="R7" s="51">
        <f>N7*1.2</f>
        <v>1.7996952734258556</v>
      </c>
      <c r="S7" s="49">
        <v>398.59199999999998</v>
      </c>
      <c r="T7" s="49">
        <v>210.142</v>
      </c>
      <c r="U7" s="49">
        <v>0</v>
      </c>
      <c r="V7" s="49">
        <v>575.16899999999998</v>
      </c>
      <c r="W7" s="49">
        <v>271.673</v>
      </c>
      <c r="X7" s="49">
        <v>0</v>
      </c>
      <c r="Y7" s="49"/>
      <c r="Z7" s="49"/>
      <c r="AA7" s="49"/>
      <c r="AB7" s="49"/>
      <c r="AC7" s="49"/>
      <c r="AD7" s="49"/>
      <c r="AE7" s="49">
        <f t="shared" si="4"/>
        <v>0</v>
      </c>
      <c r="AF7" s="49">
        <f t="shared" si="5"/>
        <v>0</v>
      </c>
      <c r="AG7" s="49">
        <f t="shared" si="6"/>
        <v>0</v>
      </c>
      <c r="AH7" s="49">
        <f t="shared" si="7"/>
        <v>0</v>
      </c>
      <c r="AI7" s="49">
        <f t="shared" si="8"/>
        <v>0.9245650212357317</v>
      </c>
      <c r="AJ7" s="49">
        <f t="shared" si="9"/>
        <v>1.4184192355117138</v>
      </c>
      <c r="AK7" s="51">
        <f t="shared" si="10"/>
        <v>1.109478025482878</v>
      </c>
      <c r="AL7" s="51">
        <f t="shared" si="10"/>
        <v>1.7021030826140564</v>
      </c>
      <c r="AM7" s="51">
        <f t="shared" si="0"/>
        <v>0.9245650212357317</v>
      </c>
      <c r="AN7" s="51">
        <f t="shared" si="1"/>
        <v>1.4184192355117138</v>
      </c>
      <c r="AO7" s="51">
        <f t="shared" si="2"/>
        <v>1.1052542996896859</v>
      </c>
      <c r="AP7" s="51">
        <f t="shared" si="3"/>
        <v>1.499746061188213</v>
      </c>
      <c r="AQ7" s="56"/>
      <c r="AR7" s="56"/>
      <c r="AS7" s="56"/>
      <c r="AT7" s="56"/>
      <c r="AU7" s="56"/>
      <c r="AV7" s="56"/>
    </row>
    <row r="8" spans="1:48" x14ac:dyDescent="0.25">
      <c r="A8" s="61" t="s">
        <v>31</v>
      </c>
      <c r="B8" s="40">
        <v>28.23</v>
      </c>
      <c r="C8" s="49">
        <v>1187.9110000000001</v>
      </c>
      <c r="D8" s="49">
        <v>23.966000000000001</v>
      </c>
      <c r="E8" s="49">
        <v>5.694</v>
      </c>
      <c r="F8" s="49">
        <v>0.185</v>
      </c>
      <c r="G8" s="49">
        <v>9.0419999999999998</v>
      </c>
      <c r="H8" s="49">
        <v>3.7130000000000001</v>
      </c>
      <c r="I8" s="49">
        <v>1.7999999999999999E-2</v>
      </c>
      <c r="J8" s="49"/>
      <c r="K8" s="50">
        <v>0.97</v>
      </c>
      <c r="L8" s="50">
        <v>0.97</v>
      </c>
      <c r="M8" s="50">
        <v>1.55</v>
      </c>
      <c r="N8" s="50">
        <v>1.55</v>
      </c>
      <c r="O8" s="51">
        <v>1.1639999999999999</v>
      </c>
      <c r="P8" s="51">
        <v>1.1639999999999999</v>
      </c>
      <c r="Q8" s="51">
        <f>M8*1.2</f>
        <v>1.8599999999999999</v>
      </c>
      <c r="R8" s="51">
        <f>N8*1.2</f>
        <v>1.8599999999999999</v>
      </c>
      <c r="S8" s="49">
        <v>23.245999999999999</v>
      </c>
      <c r="T8" s="49">
        <v>5.5220000000000002</v>
      </c>
      <c r="U8" s="49">
        <v>0.18</v>
      </c>
      <c r="V8" s="49">
        <v>14.016</v>
      </c>
      <c r="W8" s="49">
        <v>5.7560000000000002</v>
      </c>
      <c r="X8" s="49">
        <v>2.8000000000000001E-2</v>
      </c>
      <c r="Y8" s="49">
        <v>3.8</v>
      </c>
      <c r="Z8" s="49">
        <v>0.374</v>
      </c>
      <c r="AA8" s="49">
        <v>1.9E-2</v>
      </c>
      <c r="AB8" s="49">
        <v>1.58</v>
      </c>
      <c r="AC8" s="49">
        <v>0.23100000000000001</v>
      </c>
      <c r="AD8" s="49">
        <v>8.9999999999999993E-3</v>
      </c>
      <c r="AE8" s="49">
        <f t="shared" ref="AE8" si="11">Y8/D8</f>
        <v>0.15855795710590001</v>
      </c>
      <c r="AF8" s="49">
        <f t="shared" ref="AF8" si="12">AB8/G8</f>
        <v>0.17474010174740104</v>
      </c>
      <c r="AG8" s="49">
        <f t="shared" ref="AG8" si="13">(Z8+AA8)/(E8+F8)</f>
        <v>6.6848103418948812E-2</v>
      </c>
      <c r="AH8" s="49">
        <f t="shared" ref="AH8" si="14">(AC8+AD8)/(H8+I8)</f>
        <v>6.4325917984454584E-2</v>
      </c>
      <c r="AI8" s="49">
        <f t="shared" ref="AI8" si="15">K8+AE8</f>
        <v>1.1285579571058999</v>
      </c>
      <c r="AJ8" s="49">
        <f t="shared" ref="AJ8" si="16">M8+AF8</f>
        <v>1.7247401017474011</v>
      </c>
      <c r="AK8" s="51">
        <f t="shared" ref="AK8" si="17">AI8*1.2</f>
        <v>1.3542695485270799</v>
      </c>
      <c r="AL8" s="51">
        <f t="shared" ref="AL8" si="18">AJ8*1.2</f>
        <v>2.0696881220968812</v>
      </c>
      <c r="AM8" s="51">
        <f t="shared" ref="AM8" si="19">(S8+Y8)/D8</f>
        <v>1.1285153968121504</v>
      </c>
      <c r="AN8" s="51">
        <f t="shared" ref="AN8" si="20">(V8+AB8)/G8</f>
        <v>1.7248396372483965</v>
      </c>
      <c r="AO8" s="51">
        <f t="shared" ref="AO8" si="21">(T8+U8+Z8+AA8)/(E8+F8)</f>
        <v>1.0367409423371321</v>
      </c>
      <c r="AP8" s="51">
        <f t="shared" ref="AP8" si="22">(W8+X8+AC8+AD8)/(H8+I8)</f>
        <v>1.6145805414098098</v>
      </c>
      <c r="AQ8" s="56"/>
      <c r="AR8" s="56"/>
      <c r="AS8" s="56"/>
      <c r="AT8" s="56"/>
      <c r="AU8" s="56"/>
      <c r="AV8" s="56"/>
    </row>
    <row r="9" spans="1:48" s="35" customFormat="1" x14ac:dyDescent="0.25">
      <c r="A9" s="61" t="s">
        <v>32</v>
      </c>
      <c r="B9" s="36">
        <v>110.95</v>
      </c>
      <c r="C9" s="37">
        <v>156.61199999999999</v>
      </c>
      <c r="D9" s="37">
        <v>47.834000000000003</v>
      </c>
      <c r="E9" s="37">
        <v>22.068000000000001</v>
      </c>
      <c r="F9" s="37">
        <v>0</v>
      </c>
      <c r="G9" s="37">
        <v>45.036000000000001</v>
      </c>
      <c r="H9" s="37">
        <v>16.422999999999998</v>
      </c>
      <c r="I9" s="37">
        <v>0</v>
      </c>
      <c r="J9" s="37"/>
      <c r="K9" s="37">
        <v>1.3</v>
      </c>
      <c r="L9" s="37">
        <v>1.36</v>
      </c>
      <c r="M9" s="37">
        <v>1.95</v>
      </c>
      <c r="N9" s="37">
        <v>2.0499999999999998</v>
      </c>
      <c r="O9" s="37">
        <v>1.56</v>
      </c>
      <c r="P9" s="37">
        <v>1.6319999999999999</v>
      </c>
      <c r="Q9" s="37">
        <v>2.34</v>
      </c>
      <c r="R9" s="37">
        <v>2.46</v>
      </c>
      <c r="S9" s="37">
        <v>60.793999999999997</v>
      </c>
      <c r="T9" s="37">
        <v>28.425000000000001</v>
      </c>
      <c r="U9" s="37">
        <v>0</v>
      </c>
      <c r="V9" s="37">
        <v>86.296999999999997</v>
      </c>
      <c r="W9" s="37">
        <v>31.789000000000001</v>
      </c>
      <c r="X9" s="37">
        <v>0</v>
      </c>
      <c r="Y9" s="37"/>
      <c r="Z9" s="37"/>
      <c r="AA9" s="37"/>
      <c r="AB9" s="37"/>
      <c r="AC9" s="37"/>
      <c r="AD9" s="37"/>
      <c r="AE9" s="37">
        <f t="shared" si="4"/>
        <v>0</v>
      </c>
      <c r="AF9" s="37">
        <f t="shared" si="5"/>
        <v>0</v>
      </c>
      <c r="AG9" s="37">
        <f t="shared" si="6"/>
        <v>0</v>
      </c>
      <c r="AH9" s="37">
        <f t="shared" si="7"/>
        <v>0</v>
      </c>
      <c r="AI9" s="37">
        <f t="shared" si="8"/>
        <v>1.3</v>
      </c>
      <c r="AJ9" s="37">
        <f t="shared" si="9"/>
        <v>1.95</v>
      </c>
      <c r="AK9" s="38">
        <f t="shared" si="10"/>
        <v>1.56</v>
      </c>
      <c r="AL9" s="38">
        <f t="shared" si="10"/>
        <v>2.34</v>
      </c>
      <c r="AM9" s="38">
        <f t="shared" si="0"/>
        <v>1.2709369904252203</v>
      </c>
      <c r="AN9" s="38">
        <f t="shared" si="1"/>
        <v>1.91617816857625</v>
      </c>
      <c r="AO9" s="38">
        <f t="shared" si="2"/>
        <v>1.2880641653072322</v>
      </c>
      <c r="AP9" s="38">
        <f t="shared" si="3"/>
        <v>1.9356390428058214</v>
      </c>
      <c r="AQ9" s="39"/>
      <c r="AR9" s="39"/>
      <c r="AS9" s="39"/>
      <c r="AT9" s="39"/>
      <c r="AU9" s="39"/>
      <c r="AV9" s="39"/>
    </row>
    <row r="10" spans="1:48" s="15" customFormat="1" x14ac:dyDescent="0.25">
      <c r="A10" s="61" t="s">
        <v>33</v>
      </c>
      <c r="B10" s="40">
        <v>44.883000000000003</v>
      </c>
      <c r="C10" s="49">
        <v>88.518000000000001</v>
      </c>
      <c r="D10" s="49">
        <v>24.763999999999999</v>
      </c>
      <c r="E10" s="49">
        <v>8.3350000000000009</v>
      </c>
      <c r="F10" s="49">
        <v>0</v>
      </c>
      <c r="G10" s="49">
        <v>26.628</v>
      </c>
      <c r="H10" s="49">
        <v>8.3350000000000009</v>
      </c>
      <c r="I10" s="49">
        <v>0</v>
      </c>
      <c r="J10" s="49">
        <v>20.315999999999999</v>
      </c>
      <c r="K10" s="49">
        <v>0.94799999999999995</v>
      </c>
      <c r="L10" s="49">
        <v>0.94799999999999995</v>
      </c>
      <c r="M10" s="49">
        <v>1.1299999999999999</v>
      </c>
      <c r="N10" s="49">
        <v>1.1299999999999999</v>
      </c>
      <c r="O10" s="49">
        <v>1.1399999999999999</v>
      </c>
      <c r="P10" s="49">
        <v>1.1399999999999999</v>
      </c>
      <c r="Q10" s="49">
        <v>1.36</v>
      </c>
      <c r="R10" s="49">
        <v>1.36</v>
      </c>
      <c r="S10" s="49">
        <v>23.475999999999999</v>
      </c>
      <c r="T10" s="49">
        <v>7.9020000000000001</v>
      </c>
      <c r="U10" s="49">
        <v>0</v>
      </c>
      <c r="V10" s="49">
        <v>30.077000000000002</v>
      </c>
      <c r="W10" s="49">
        <v>9.4139999999999997</v>
      </c>
      <c r="X10" s="49">
        <v>4.53</v>
      </c>
      <c r="Y10" s="49"/>
      <c r="Z10" s="49"/>
      <c r="AA10" s="49"/>
      <c r="AB10" s="49"/>
      <c r="AC10" s="49"/>
      <c r="AD10" s="49"/>
      <c r="AE10" s="49">
        <f t="shared" si="4"/>
        <v>0</v>
      </c>
      <c r="AF10" s="49">
        <f t="shared" si="5"/>
        <v>0</v>
      </c>
      <c r="AG10" s="49">
        <f t="shared" si="6"/>
        <v>0</v>
      </c>
      <c r="AH10" s="49">
        <f t="shared" si="7"/>
        <v>0</v>
      </c>
      <c r="AI10" s="49">
        <f t="shared" si="8"/>
        <v>0.94799999999999995</v>
      </c>
      <c r="AJ10" s="49">
        <f t="shared" si="9"/>
        <v>1.1299999999999999</v>
      </c>
      <c r="AK10" s="51">
        <f t="shared" si="10"/>
        <v>1.1375999999999999</v>
      </c>
      <c r="AL10" s="51">
        <f t="shared" si="10"/>
        <v>1.3559999999999999</v>
      </c>
      <c r="AM10" s="51">
        <f t="shared" si="0"/>
        <v>0.94798901631400423</v>
      </c>
      <c r="AN10" s="51">
        <f t="shared" si="1"/>
        <v>1.1295253117019679</v>
      </c>
      <c r="AO10" s="51">
        <f t="shared" si="2"/>
        <v>0.94805038992201551</v>
      </c>
      <c r="AP10" s="51">
        <f>(W10+AC10+AD10)/(H10+I10)</f>
        <v>1.1294541091781642</v>
      </c>
      <c r="AQ10" s="57"/>
      <c r="AR10" s="57"/>
      <c r="AS10" s="57"/>
      <c r="AT10" s="57"/>
      <c r="AU10" s="57"/>
      <c r="AV10" s="57"/>
    </row>
    <row r="11" spans="1:48" x14ac:dyDescent="0.25">
      <c r="A11" s="61" t="s">
        <v>34</v>
      </c>
      <c r="B11" s="40">
        <v>2960.2829999999999</v>
      </c>
      <c r="C11" s="49">
        <v>5332.19</v>
      </c>
      <c r="D11" s="50">
        <v>1842.509</v>
      </c>
      <c r="E11" s="50">
        <v>448.81299999999999</v>
      </c>
      <c r="F11" s="49">
        <v>0</v>
      </c>
      <c r="G11" s="49">
        <v>1698.26</v>
      </c>
      <c r="H11" s="49">
        <v>2253.636</v>
      </c>
      <c r="I11" s="49">
        <v>0</v>
      </c>
      <c r="J11" s="49"/>
      <c r="K11" s="49">
        <v>1.22</v>
      </c>
      <c r="L11" s="49">
        <v>1.5680000000000001</v>
      </c>
      <c r="M11" s="49">
        <v>0.72299999999999998</v>
      </c>
      <c r="N11" s="49">
        <v>0.72899999999999998</v>
      </c>
      <c r="O11" s="49">
        <f t="shared" ref="O11:R12" si="23">K11*1.2</f>
        <v>1.464</v>
      </c>
      <c r="P11" s="49">
        <f t="shared" si="23"/>
        <v>1.8815999999999999</v>
      </c>
      <c r="Q11" s="49">
        <f t="shared" si="23"/>
        <v>0.86759999999999993</v>
      </c>
      <c r="R11" s="49">
        <f t="shared" si="23"/>
        <v>0.87479999999999991</v>
      </c>
      <c r="S11" s="49">
        <v>2247.3890000000001</v>
      </c>
      <c r="T11" s="49">
        <v>703.73599999999999</v>
      </c>
      <c r="U11" s="49">
        <v>0</v>
      </c>
      <c r="V11" s="49">
        <v>1228.5530000000001</v>
      </c>
      <c r="W11" s="49">
        <v>1641.85</v>
      </c>
      <c r="X11" s="49">
        <v>0</v>
      </c>
      <c r="Y11" s="49"/>
      <c r="Z11" s="49">
        <v>-0.01</v>
      </c>
      <c r="AA11" s="49">
        <v>0</v>
      </c>
      <c r="AB11" s="49">
        <v>0</v>
      </c>
      <c r="AC11" s="49">
        <v>-0.01</v>
      </c>
      <c r="AD11" s="49">
        <v>0</v>
      </c>
      <c r="AE11" s="49">
        <f t="shared" si="4"/>
        <v>0</v>
      </c>
      <c r="AF11" s="49">
        <f t="shared" si="5"/>
        <v>0</v>
      </c>
      <c r="AG11" s="49">
        <f t="shared" si="6"/>
        <v>-2.2280994534472043E-5</v>
      </c>
      <c r="AH11" s="49">
        <f t="shared" si="7"/>
        <v>-4.437273809967537E-6</v>
      </c>
      <c r="AI11" s="49">
        <f t="shared" si="8"/>
        <v>1.22</v>
      </c>
      <c r="AJ11" s="49">
        <f t="shared" si="9"/>
        <v>0.72299999999999998</v>
      </c>
      <c r="AK11" s="51">
        <f t="shared" si="10"/>
        <v>1.464</v>
      </c>
      <c r="AL11" s="51">
        <f t="shared" si="10"/>
        <v>0.86759999999999993</v>
      </c>
      <c r="AM11" s="51">
        <f t="shared" si="0"/>
        <v>1.2197438384290118</v>
      </c>
      <c r="AN11" s="51">
        <f t="shared" si="1"/>
        <v>0.72341867558559947</v>
      </c>
      <c r="AO11" s="51">
        <f t="shared" si="2"/>
        <v>1.5679715159765872</v>
      </c>
      <c r="AP11" s="51">
        <f t="shared" si="3"/>
        <v>0.72852936321571005</v>
      </c>
      <c r="AQ11" s="56"/>
      <c r="AR11" s="56"/>
      <c r="AS11" s="56"/>
      <c r="AT11" s="56"/>
      <c r="AU11" s="56"/>
      <c r="AV11" s="56"/>
    </row>
    <row r="12" spans="1:48" s="35" customFormat="1" x14ac:dyDescent="0.25">
      <c r="A12" s="68" t="s">
        <v>100</v>
      </c>
      <c r="B12" s="69">
        <v>270.83699999999999</v>
      </c>
      <c r="C12" s="70">
        <v>436.286</v>
      </c>
      <c r="D12" s="70">
        <v>127.38500000000001</v>
      </c>
      <c r="E12" s="70">
        <v>39.951000000000001</v>
      </c>
      <c r="F12" s="70">
        <v>2.7E-2</v>
      </c>
      <c r="G12" s="70">
        <v>126.974</v>
      </c>
      <c r="H12" s="70">
        <v>48.06</v>
      </c>
      <c r="I12" s="70">
        <v>2.7E-2</v>
      </c>
      <c r="J12" s="70">
        <v>19.256</v>
      </c>
      <c r="K12" s="70">
        <v>1.0980000000000001</v>
      </c>
      <c r="L12" s="70">
        <v>1.097</v>
      </c>
      <c r="M12" s="70">
        <v>1.84</v>
      </c>
      <c r="N12" s="70">
        <v>1.7969999999999999</v>
      </c>
      <c r="O12" s="70">
        <f t="shared" si="23"/>
        <v>1.3176000000000001</v>
      </c>
      <c r="P12" s="70">
        <f t="shared" si="23"/>
        <v>1.3164</v>
      </c>
      <c r="Q12" s="70">
        <f t="shared" si="23"/>
        <v>2.2080000000000002</v>
      </c>
      <c r="R12" s="70">
        <f t="shared" si="23"/>
        <v>2.1563999999999997</v>
      </c>
      <c r="S12" s="70">
        <v>139.96299999999999</v>
      </c>
      <c r="T12" s="70">
        <v>43.837000000000003</v>
      </c>
      <c r="U12" s="70">
        <v>0.03</v>
      </c>
      <c r="V12" s="70">
        <v>233.88</v>
      </c>
      <c r="W12" s="70">
        <v>107.33799999999999</v>
      </c>
      <c r="X12" s="70">
        <v>0.05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f t="shared" si="4"/>
        <v>0</v>
      </c>
      <c r="AF12" s="70">
        <f t="shared" si="5"/>
        <v>0</v>
      </c>
      <c r="AG12" s="70">
        <f t="shared" si="6"/>
        <v>0</v>
      </c>
      <c r="AH12" s="70">
        <f t="shared" si="7"/>
        <v>0</v>
      </c>
      <c r="AI12" s="70">
        <f t="shared" si="8"/>
        <v>1.0980000000000001</v>
      </c>
      <c r="AJ12" s="70">
        <f>M12+AF12</f>
        <v>1.84</v>
      </c>
      <c r="AK12" s="71">
        <f t="shared" si="10"/>
        <v>1.3176000000000001</v>
      </c>
      <c r="AL12" s="71">
        <f t="shared" si="10"/>
        <v>2.2080000000000002</v>
      </c>
      <c r="AM12" s="71">
        <f t="shared" si="0"/>
        <v>1.0987400400361109</v>
      </c>
      <c r="AN12" s="71">
        <f t="shared" si="1"/>
        <v>1.8419518956636791</v>
      </c>
      <c r="AO12" s="71">
        <f t="shared" si="2"/>
        <v>1.0972785031767474</v>
      </c>
      <c r="AP12" s="71">
        <f>(W12+X12-22.417)/(H12+I12)</f>
        <v>1.7670264312600075</v>
      </c>
      <c r="AQ12" s="72"/>
      <c r="AR12" s="72"/>
      <c r="AS12" s="72"/>
      <c r="AT12" s="72"/>
      <c r="AU12" s="72"/>
      <c r="AV12" s="72"/>
    </row>
    <row r="13" spans="1:48" s="4" customFormat="1" x14ac:dyDescent="0.25">
      <c r="A13" s="61" t="s">
        <v>36</v>
      </c>
      <c r="B13" s="40">
        <v>139.101</v>
      </c>
      <c r="C13" s="49">
        <v>225.67</v>
      </c>
      <c r="D13" s="49">
        <f>38.603+38.06</f>
        <v>76.663000000000011</v>
      </c>
      <c r="E13" s="49">
        <f>13.302+14.395</f>
        <v>27.696999999999999</v>
      </c>
      <c r="F13" s="49">
        <v>0</v>
      </c>
      <c r="G13" s="49">
        <f>37.122+36.443</f>
        <v>73.564999999999998</v>
      </c>
      <c r="H13" s="49">
        <f>9.564+9.751</f>
        <v>19.314999999999998</v>
      </c>
      <c r="I13" s="49">
        <v>0</v>
      </c>
      <c r="J13" s="49"/>
      <c r="K13" s="49">
        <v>0.89</v>
      </c>
      <c r="L13" s="49">
        <v>0.89</v>
      </c>
      <c r="M13" s="49">
        <v>1.99</v>
      </c>
      <c r="N13" s="49">
        <v>1.99</v>
      </c>
      <c r="O13" s="49">
        <v>1.0680000000000001</v>
      </c>
      <c r="P13" s="49">
        <v>1.0680000000000001</v>
      </c>
      <c r="Q13" s="49">
        <v>2.3879999999999999</v>
      </c>
      <c r="R13" s="49">
        <v>2.3879999999999999</v>
      </c>
      <c r="S13" s="49">
        <f>34.537+54.198</f>
        <v>88.734999999999999</v>
      </c>
      <c r="T13" s="49">
        <f>11.839+12.812</f>
        <v>24.651</v>
      </c>
      <c r="U13" s="49">
        <v>0</v>
      </c>
      <c r="V13" s="49">
        <f>73.873+72.522</f>
        <v>146.39500000000001</v>
      </c>
      <c r="W13" s="49">
        <f>19.032+19.404</f>
        <v>38.436</v>
      </c>
      <c r="X13" s="49"/>
      <c r="Y13" s="49"/>
      <c r="Z13" s="49"/>
      <c r="AA13" s="49"/>
      <c r="AB13" s="49"/>
      <c r="AC13" s="49"/>
      <c r="AD13" s="49"/>
      <c r="AE13" s="49">
        <f t="shared" si="4"/>
        <v>0</v>
      </c>
      <c r="AF13" s="49">
        <f t="shared" si="5"/>
        <v>0</v>
      </c>
      <c r="AG13" s="49">
        <f t="shared" si="6"/>
        <v>0</v>
      </c>
      <c r="AH13" s="49">
        <f t="shared" si="7"/>
        <v>0</v>
      </c>
      <c r="AI13" s="49">
        <f t="shared" si="8"/>
        <v>0.89</v>
      </c>
      <c r="AJ13" s="49">
        <f t="shared" si="9"/>
        <v>1.99</v>
      </c>
      <c r="AK13" s="51">
        <f t="shared" si="10"/>
        <v>1.0680000000000001</v>
      </c>
      <c r="AL13" s="51">
        <f t="shared" si="10"/>
        <v>2.3879999999999999</v>
      </c>
      <c r="AM13" s="51">
        <f t="shared" si="0"/>
        <v>1.1574684006626401</v>
      </c>
      <c r="AN13" s="51">
        <f t="shared" si="1"/>
        <v>1.99000883572351</v>
      </c>
      <c r="AO13" s="51">
        <f t="shared" si="2"/>
        <v>0.89002419034552482</v>
      </c>
      <c r="AP13" s="51">
        <f t="shared" si="3"/>
        <v>1.9899559927517476</v>
      </c>
      <c r="AQ13" s="52"/>
      <c r="AR13" s="52"/>
      <c r="AS13" s="52"/>
      <c r="AT13" s="52"/>
      <c r="AU13" s="52"/>
      <c r="AV13" s="52"/>
    </row>
    <row r="14" spans="1:48" x14ac:dyDescent="0.25">
      <c r="A14" s="61" t="s">
        <v>37</v>
      </c>
      <c r="B14" s="40">
        <v>224.416</v>
      </c>
      <c r="C14" s="49">
        <v>335.61399999999998</v>
      </c>
      <c r="D14" s="49">
        <v>105.75700000000001</v>
      </c>
      <c r="E14" s="49">
        <v>47.764000000000003</v>
      </c>
      <c r="F14" s="49">
        <v>0</v>
      </c>
      <c r="G14" s="49">
        <v>100.108</v>
      </c>
      <c r="H14" s="49">
        <v>38.234000000000002</v>
      </c>
      <c r="I14" s="49">
        <v>0</v>
      </c>
      <c r="J14" s="49"/>
      <c r="K14" s="49">
        <v>1.36</v>
      </c>
      <c r="L14" s="49">
        <v>1.43</v>
      </c>
      <c r="M14" s="49">
        <v>1.5649999999999999</v>
      </c>
      <c r="N14" s="49">
        <v>1.585</v>
      </c>
      <c r="O14" s="49">
        <v>1.6319999999999999</v>
      </c>
      <c r="P14" s="49">
        <v>1.716</v>
      </c>
      <c r="Q14" s="49">
        <v>1.8779999999999999</v>
      </c>
      <c r="R14" s="49">
        <v>1.9019999999999999</v>
      </c>
      <c r="S14" s="49">
        <v>143.83000000000001</v>
      </c>
      <c r="T14" s="49">
        <v>68.302000000000007</v>
      </c>
      <c r="U14" s="49">
        <v>0</v>
      </c>
      <c r="V14" s="49">
        <v>156.66999999999999</v>
      </c>
      <c r="W14" s="49">
        <v>60.65</v>
      </c>
      <c r="X14" s="49">
        <v>0</v>
      </c>
      <c r="Y14" s="49"/>
      <c r="Z14" s="49"/>
      <c r="AA14" s="49"/>
      <c r="AB14" s="49"/>
      <c r="AC14" s="49"/>
      <c r="AD14" s="49"/>
      <c r="AE14" s="49">
        <f t="shared" si="4"/>
        <v>0</v>
      </c>
      <c r="AF14" s="49">
        <f t="shared" si="5"/>
        <v>0</v>
      </c>
      <c r="AG14" s="49">
        <f t="shared" si="6"/>
        <v>0</v>
      </c>
      <c r="AH14" s="49">
        <f t="shared" si="7"/>
        <v>0</v>
      </c>
      <c r="AI14" s="49">
        <f t="shared" si="8"/>
        <v>1.36</v>
      </c>
      <c r="AJ14" s="49">
        <f t="shared" si="9"/>
        <v>1.5649999999999999</v>
      </c>
      <c r="AK14" s="51">
        <f t="shared" si="10"/>
        <v>1.6320000000000001</v>
      </c>
      <c r="AL14" s="51">
        <f t="shared" si="10"/>
        <v>1.8779999999999999</v>
      </c>
      <c r="AM14" s="51">
        <f t="shared" si="0"/>
        <v>1.3600045387066577</v>
      </c>
      <c r="AN14" s="51">
        <f t="shared" si="1"/>
        <v>1.5650097894274182</v>
      </c>
      <c r="AO14" s="51">
        <f t="shared" si="2"/>
        <v>1.4299891131396032</v>
      </c>
      <c r="AP14" s="51">
        <f t="shared" si="3"/>
        <v>1.5862844588586074</v>
      </c>
      <c r="AQ14" s="56"/>
      <c r="AR14" s="56"/>
      <c r="AS14" s="56"/>
      <c r="AT14" s="56"/>
      <c r="AU14" s="56"/>
      <c r="AV14" s="56"/>
    </row>
    <row r="15" spans="1:48" s="35" customFormat="1" x14ac:dyDescent="0.25">
      <c r="A15" s="61" t="s">
        <v>38</v>
      </c>
      <c r="B15" s="36">
        <v>143.529</v>
      </c>
      <c r="C15" s="37"/>
      <c r="D15" s="37">
        <v>66.353999999999999</v>
      </c>
      <c r="E15" s="37">
        <v>17.78</v>
      </c>
      <c r="F15" s="37">
        <v>1.08</v>
      </c>
      <c r="G15" s="37">
        <v>62.354999999999997</v>
      </c>
      <c r="H15" s="37">
        <v>15.601000000000001</v>
      </c>
      <c r="I15" s="37">
        <v>3.085</v>
      </c>
      <c r="J15" s="37"/>
      <c r="K15" s="37">
        <v>1.4650000000000001</v>
      </c>
      <c r="L15" s="37">
        <v>1.4650000000000001</v>
      </c>
      <c r="M15" s="37">
        <v>2.1</v>
      </c>
      <c r="N15" s="37">
        <v>2.1</v>
      </c>
      <c r="O15" s="37">
        <v>1.758</v>
      </c>
      <c r="P15" s="37">
        <v>1.758</v>
      </c>
      <c r="Q15" s="37">
        <v>2.52</v>
      </c>
      <c r="R15" s="37">
        <v>2.52</v>
      </c>
      <c r="S15" s="37">
        <v>94.266000000000005</v>
      </c>
      <c r="T15" s="37">
        <v>25.434000000000001</v>
      </c>
      <c r="U15" s="37">
        <v>1.583</v>
      </c>
      <c r="V15" s="37">
        <v>123.235</v>
      </c>
      <c r="W15" s="37">
        <v>31.158999999999999</v>
      </c>
      <c r="X15" s="37">
        <v>6.4790000000000001</v>
      </c>
      <c r="Y15" s="37"/>
      <c r="Z15" s="37"/>
      <c r="AA15" s="37"/>
      <c r="AB15" s="37"/>
      <c r="AC15" s="37"/>
      <c r="AD15" s="37"/>
      <c r="AE15" s="37">
        <f t="shared" ref="AE15" si="24">Y15/D15</f>
        <v>0</v>
      </c>
      <c r="AF15" s="37">
        <f t="shared" ref="AF15" si="25">AB15/G15</f>
        <v>0</v>
      </c>
      <c r="AG15" s="37">
        <f t="shared" ref="AG15" si="26">(Z15+AA15)/(E15+F15)</f>
        <v>0</v>
      </c>
      <c r="AH15" s="37">
        <f t="shared" ref="AH15" si="27">(AC15+AD15)/(H15+I15)</f>
        <v>0</v>
      </c>
      <c r="AI15" s="37">
        <f t="shared" ref="AI15" si="28">K15+AE15</f>
        <v>1.4650000000000001</v>
      </c>
      <c r="AJ15" s="37">
        <f t="shared" ref="AJ15" si="29">M15+AF15</f>
        <v>2.1</v>
      </c>
      <c r="AK15" s="38">
        <f t="shared" ref="AK15" si="30">AI15*1.2</f>
        <v>1.758</v>
      </c>
      <c r="AL15" s="38">
        <f t="shared" ref="AL15" si="31">AJ15*1.2</f>
        <v>2.52</v>
      </c>
      <c r="AM15" s="38">
        <f t="shared" ref="AM15" si="32">(S15+Y15)/D15</f>
        <v>1.4206528619224161</v>
      </c>
      <c r="AN15" s="38">
        <f t="shared" ref="AN15" si="33">(V15+AB15)/G15</f>
        <v>1.9763451206799776</v>
      </c>
      <c r="AO15" s="38">
        <f>(T15+U15+Z15+AA15)/(E15+F15)</f>
        <v>1.4325026511134678</v>
      </c>
      <c r="AP15" s="38">
        <f t="shared" ref="AP15" si="34">(W15+X15+AC15+AD15)/(H15+I15)</f>
        <v>2.0142352563416459</v>
      </c>
      <c r="AQ15" s="39"/>
      <c r="AR15" s="39"/>
      <c r="AS15" s="39"/>
      <c r="AT15" s="39"/>
      <c r="AU15" s="39"/>
      <c r="AV15" s="39"/>
    </row>
    <row r="16" spans="1:48" x14ac:dyDescent="0.25">
      <c r="A16" s="61" t="s">
        <v>39</v>
      </c>
      <c r="B16" s="40">
        <v>601.072</v>
      </c>
      <c r="C16" s="49">
        <v>838.03800000000001</v>
      </c>
      <c r="D16" s="49">
        <v>304.62099999999998</v>
      </c>
      <c r="E16" s="49">
        <v>91.9</v>
      </c>
      <c r="F16" s="49">
        <v>0</v>
      </c>
      <c r="G16" s="49">
        <v>329.61399999999998</v>
      </c>
      <c r="H16" s="49">
        <v>115.09</v>
      </c>
      <c r="I16" s="49"/>
      <c r="J16" s="49">
        <v>3.0790000000000002</v>
      </c>
      <c r="K16" s="49">
        <v>1.1200000000000001</v>
      </c>
      <c r="L16" s="49">
        <v>1.1200000000000001</v>
      </c>
      <c r="M16" s="49">
        <v>1.37</v>
      </c>
      <c r="N16" s="49">
        <v>1.37</v>
      </c>
      <c r="O16" s="49">
        <v>1.3440000000000001</v>
      </c>
      <c r="P16" s="49">
        <v>1.3440000000000001</v>
      </c>
      <c r="Q16" s="49">
        <v>1.6439999999999999</v>
      </c>
      <c r="R16" s="49">
        <v>1.6439999999999999</v>
      </c>
      <c r="S16" s="49">
        <v>341.18900000000002</v>
      </c>
      <c r="T16" s="49">
        <v>102.928</v>
      </c>
      <c r="U16" s="49">
        <v>0</v>
      </c>
      <c r="V16" s="49">
        <v>451.56700000000001</v>
      </c>
      <c r="W16" s="49">
        <v>239.49600000000001</v>
      </c>
      <c r="X16" s="49">
        <v>0</v>
      </c>
      <c r="Y16" s="49"/>
      <c r="Z16" s="49"/>
      <c r="AA16" s="49">
        <v>0</v>
      </c>
      <c r="AB16" s="49"/>
      <c r="AC16" s="49"/>
      <c r="AD16" s="49"/>
      <c r="AE16" s="49">
        <f t="shared" si="4"/>
        <v>0</v>
      </c>
      <c r="AF16" s="49">
        <f t="shared" si="5"/>
        <v>0</v>
      </c>
      <c r="AG16" s="49">
        <f t="shared" si="6"/>
        <v>0</v>
      </c>
      <c r="AH16" s="49">
        <f t="shared" si="7"/>
        <v>0</v>
      </c>
      <c r="AI16" s="49">
        <f t="shared" si="8"/>
        <v>1.1200000000000001</v>
      </c>
      <c r="AJ16" s="49">
        <f t="shared" si="9"/>
        <v>1.37</v>
      </c>
      <c r="AK16" s="51">
        <f t="shared" si="10"/>
        <v>1.3440000000000001</v>
      </c>
      <c r="AL16" s="51">
        <f t="shared" si="10"/>
        <v>1.6440000000000001</v>
      </c>
      <c r="AM16" s="51">
        <f t="shared" si="0"/>
        <v>1.1200442517095015</v>
      </c>
      <c r="AN16" s="51">
        <f t="shared" si="1"/>
        <v>1.369987318499821</v>
      </c>
      <c r="AO16" s="51">
        <f t="shared" si="2"/>
        <v>1.1199999999999999</v>
      </c>
      <c r="AP16" s="51">
        <f t="shared" si="3"/>
        <v>2.0809453471196453</v>
      </c>
      <c r="AQ16" s="56"/>
      <c r="AR16" s="56"/>
      <c r="AS16" s="56"/>
      <c r="AT16" s="56"/>
      <c r="AU16" s="56"/>
      <c r="AV16" s="56"/>
    </row>
    <row r="17" spans="1:48" s="15" customFormat="1" x14ac:dyDescent="0.25">
      <c r="A17" s="61" t="s">
        <v>40</v>
      </c>
      <c r="B17" s="40">
        <v>291.43</v>
      </c>
      <c r="C17" s="49">
        <v>402.20400000000001</v>
      </c>
      <c r="D17" s="49">
        <v>160.845</v>
      </c>
      <c r="E17" s="49">
        <v>20.855</v>
      </c>
      <c r="F17" s="49">
        <v>0</v>
      </c>
      <c r="G17" s="49">
        <v>145.56299999999999</v>
      </c>
      <c r="H17" s="49">
        <v>16.86</v>
      </c>
      <c r="I17" s="49"/>
      <c r="J17" s="49"/>
      <c r="K17" s="49">
        <v>1.32</v>
      </c>
      <c r="L17" s="49">
        <v>1.83</v>
      </c>
      <c r="M17" s="49">
        <v>1.81</v>
      </c>
      <c r="N17" s="49">
        <v>2.77</v>
      </c>
      <c r="O17" s="49">
        <v>1.5840000000000001</v>
      </c>
      <c r="P17" s="49">
        <v>2.1960000000000002</v>
      </c>
      <c r="Q17" s="49">
        <v>2.1720000000000002</v>
      </c>
      <c r="R17" s="49">
        <v>3.3239999999999998</v>
      </c>
      <c r="S17" s="49">
        <v>212.316</v>
      </c>
      <c r="T17" s="49">
        <v>38.164000000000001</v>
      </c>
      <c r="U17" s="49">
        <v>0</v>
      </c>
      <c r="V17" s="49">
        <v>263.46899999999999</v>
      </c>
      <c r="W17" s="49">
        <v>46.704999999999998</v>
      </c>
      <c r="X17" s="49">
        <v>0</v>
      </c>
      <c r="Y17" s="49">
        <v>23.876999999999999</v>
      </c>
      <c r="Z17" s="49">
        <v>0.90700000000000003</v>
      </c>
      <c r="AA17" s="49">
        <v>0</v>
      </c>
      <c r="AB17" s="49">
        <v>0</v>
      </c>
      <c r="AC17" s="49">
        <v>0</v>
      </c>
      <c r="AD17" s="49">
        <v>0</v>
      </c>
      <c r="AE17" s="49">
        <f t="shared" si="4"/>
        <v>0.14844726289284715</v>
      </c>
      <c r="AF17" s="49">
        <f t="shared" si="5"/>
        <v>0</v>
      </c>
      <c r="AG17" s="49">
        <f t="shared" si="6"/>
        <v>4.3490769599616397E-2</v>
      </c>
      <c r="AH17" s="49">
        <f t="shared" si="7"/>
        <v>0</v>
      </c>
      <c r="AI17" s="49">
        <f t="shared" si="8"/>
        <v>1.4684472628928473</v>
      </c>
      <c r="AJ17" s="49">
        <f t="shared" si="9"/>
        <v>1.81</v>
      </c>
      <c r="AK17" s="51">
        <f t="shared" si="10"/>
        <v>1.7621367154714167</v>
      </c>
      <c r="AL17" s="51">
        <f t="shared" si="10"/>
        <v>2.1720000000000002</v>
      </c>
      <c r="AM17" s="51">
        <f t="shared" si="0"/>
        <v>1.4684509931922038</v>
      </c>
      <c r="AN17" s="51">
        <f t="shared" si="1"/>
        <v>1.8099997939036707</v>
      </c>
      <c r="AO17" s="51">
        <f t="shared" si="2"/>
        <v>1.8734596020139054</v>
      </c>
      <c r="AP17" s="51">
        <f t="shared" si="3"/>
        <v>2.7701660735468563</v>
      </c>
      <c r="AQ17" s="57"/>
      <c r="AR17" s="57"/>
      <c r="AS17" s="57"/>
      <c r="AT17" s="57"/>
      <c r="AU17" s="57"/>
      <c r="AV17" s="57"/>
    </row>
    <row r="18" spans="1:48" s="35" customFormat="1" x14ac:dyDescent="0.25">
      <c r="A18" s="61" t="s">
        <v>41</v>
      </c>
      <c r="B18" s="36">
        <v>257.24900000000002</v>
      </c>
      <c r="C18" s="37">
        <v>375.63499999999999</v>
      </c>
      <c r="D18" s="37">
        <v>107.28100000000001</v>
      </c>
      <c r="E18" s="37">
        <v>47.725999999999999</v>
      </c>
      <c r="F18" s="37">
        <v>0</v>
      </c>
      <c r="G18" s="37">
        <v>93.43</v>
      </c>
      <c r="H18" s="37">
        <v>56.161999999999999</v>
      </c>
      <c r="I18" s="37">
        <v>0</v>
      </c>
      <c r="J18" s="37"/>
      <c r="K18" s="37">
        <v>1.1000000000000001</v>
      </c>
      <c r="L18" s="37">
        <v>1.27</v>
      </c>
      <c r="M18" s="37">
        <v>2.09</v>
      </c>
      <c r="N18" s="37">
        <v>2.4</v>
      </c>
      <c r="O18" s="37">
        <v>1.32</v>
      </c>
      <c r="P18" s="37">
        <v>1.524</v>
      </c>
      <c r="Q18" s="37">
        <v>2.508</v>
      </c>
      <c r="R18" s="37">
        <v>2.88</v>
      </c>
      <c r="S18" s="37">
        <v>118.161</v>
      </c>
      <c r="T18" s="37">
        <v>60.606999999999999</v>
      </c>
      <c r="U18" s="37">
        <v>0</v>
      </c>
      <c r="V18" s="37">
        <v>195.291</v>
      </c>
      <c r="W18" s="37">
        <v>128.624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f t="shared" si="4"/>
        <v>0</v>
      </c>
      <c r="AF18" s="37">
        <f t="shared" si="5"/>
        <v>0</v>
      </c>
      <c r="AG18" s="37">
        <f t="shared" si="6"/>
        <v>0</v>
      </c>
      <c r="AH18" s="37">
        <f t="shared" si="7"/>
        <v>0</v>
      </c>
      <c r="AI18" s="37">
        <f t="shared" si="8"/>
        <v>1.1000000000000001</v>
      </c>
      <c r="AJ18" s="37">
        <f t="shared" si="9"/>
        <v>2.09</v>
      </c>
      <c r="AK18" s="38">
        <f t="shared" si="10"/>
        <v>1.32</v>
      </c>
      <c r="AL18" s="38">
        <f t="shared" si="10"/>
        <v>2.5079999999999996</v>
      </c>
      <c r="AM18" s="38">
        <f t="shared" si="0"/>
        <v>1.1014159077562662</v>
      </c>
      <c r="AN18" s="38">
        <f t="shared" si="1"/>
        <v>2.0902386813657281</v>
      </c>
      <c r="AO18" s="38">
        <f t="shared" si="2"/>
        <v>1.2698948162427188</v>
      </c>
      <c r="AP18" s="38">
        <f t="shared" si="3"/>
        <v>2.2902318293508066</v>
      </c>
      <c r="AQ18" s="39"/>
      <c r="AR18" s="39"/>
      <c r="AS18" s="39"/>
      <c r="AT18" s="39"/>
      <c r="AU18" s="39"/>
      <c r="AV18" s="39"/>
    </row>
    <row r="19" spans="1:48" s="15" customFormat="1" x14ac:dyDescent="0.25">
      <c r="A19" s="61" t="s">
        <v>42</v>
      </c>
      <c r="B19" s="40">
        <v>215.67099999999999</v>
      </c>
      <c r="C19" s="49">
        <v>374.93400000000003</v>
      </c>
      <c r="D19" s="49">
        <v>95.707999999999998</v>
      </c>
      <c r="E19" s="49">
        <v>28.736999999999998</v>
      </c>
      <c r="F19" s="49">
        <v>0</v>
      </c>
      <c r="G19" s="49">
        <v>87.738</v>
      </c>
      <c r="H19" s="49">
        <v>24.812999999999999</v>
      </c>
      <c r="I19" s="49">
        <v>0</v>
      </c>
      <c r="J19" s="49"/>
      <c r="K19" s="49">
        <v>1.3</v>
      </c>
      <c r="L19" s="49">
        <v>1.3</v>
      </c>
      <c r="M19" s="49">
        <v>2.34</v>
      </c>
      <c r="N19" s="49">
        <v>2.34</v>
      </c>
      <c r="O19" s="49">
        <v>1.56</v>
      </c>
      <c r="P19" s="49">
        <v>1.56</v>
      </c>
      <c r="Q19" s="49">
        <v>2.8079999999999998</v>
      </c>
      <c r="R19" s="49">
        <v>2.8079999999999998</v>
      </c>
      <c r="S19" s="49">
        <v>124.41200000000001</v>
      </c>
      <c r="T19" s="49">
        <v>37.472000000000001</v>
      </c>
      <c r="U19" s="49">
        <v>0</v>
      </c>
      <c r="V19" s="49">
        <v>205.29599999999999</v>
      </c>
      <c r="W19" s="49">
        <v>58.161000000000001</v>
      </c>
      <c r="X19" s="49">
        <v>0</v>
      </c>
      <c r="Y19" s="49"/>
      <c r="Z19" s="49"/>
      <c r="AA19" s="49"/>
      <c r="AB19" s="49"/>
      <c r="AC19" s="49"/>
      <c r="AD19" s="49">
        <v>0</v>
      </c>
      <c r="AE19" s="49">
        <f t="shared" si="4"/>
        <v>0</v>
      </c>
      <c r="AF19" s="49">
        <f t="shared" si="5"/>
        <v>0</v>
      </c>
      <c r="AG19" s="49">
        <f t="shared" si="6"/>
        <v>0</v>
      </c>
      <c r="AH19" s="49">
        <f t="shared" si="7"/>
        <v>0</v>
      </c>
      <c r="AI19" s="49">
        <f t="shared" si="8"/>
        <v>1.3</v>
      </c>
      <c r="AJ19" s="49">
        <f t="shared" si="9"/>
        <v>2.34</v>
      </c>
      <c r="AK19" s="51">
        <f t="shared" si="10"/>
        <v>1.56</v>
      </c>
      <c r="AL19" s="51">
        <f t="shared" si="10"/>
        <v>2.8079999999999998</v>
      </c>
      <c r="AM19" s="51">
        <f t="shared" si="0"/>
        <v>1.29991223304217</v>
      </c>
      <c r="AN19" s="51">
        <f t="shared" si="1"/>
        <v>2.3398755385351842</v>
      </c>
      <c r="AO19" s="51">
        <f t="shared" si="2"/>
        <v>1.3039635313359086</v>
      </c>
      <c r="AP19" s="51">
        <f t="shared" si="3"/>
        <v>2.3439729174223189</v>
      </c>
      <c r="AQ19" s="57"/>
      <c r="AR19" s="57"/>
      <c r="AS19" s="57"/>
      <c r="AT19" s="57"/>
      <c r="AU19" s="57"/>
      <c r="AV19" s="57"/>
    </row>
    <row r="20" spans="1:48" s="35" customFormat="1" x14ac:dyDescent="0.25">
      <c r="A20" s="64" t="s">
        <v>43</v>
      </c>
      <c r="B20" s="36">
        <v>1171.703</v>
      </c>
      <c r="C20" s="37">
        <v>2195.241</v>
      </c>
      <c r="D20" s="37">
        <v>426.47399999999999</v>
      </c>
      <c r="E20" s="37">
        <v>309.226</v>
      </c>
      <c r="F20" s="37">
        <v>0</v>
      </c>
      <c r="G20" s="37">
        <v>423.25700000000001</v>
      </c>
      <c r="H20" s="37">
        <v>407.27100000000002</v>
      </c>
      <c r="I20" s="37">
        <v>0</v>
      </c>
      <c r="J20" s="37"/>
      <c r="K20" s="59">
        <f>S20/D20</f>
        <v>0.90079817292496134</v>
      </c>
      <c r="L20" s="59">
        <f>T20/E20</f>
        <v>0.95410476479985507</v>
      </c>
      <c r="M20" s="59">
        <f>V20/G20</f>
        <v>1.7049003324221454</v>
      </c>
      <c r="N20" s="59">
        <f>W20/H20</f>
        <v>2.1621893039278515</v>
      </c>
      <c r="O20" s="38">
        <f>K20*1.2</f>
        <v>1.0809578075099535</v>
      </c>
      <c r="P20" s="38">
        <f>L20*1.2</f>
        <v>1.144925717759826</v>
      </c>
      <c r="Q20" s="38">
        <f>M20*1.2</f>
        <v>2.0458803989065744</v>
      </c>
      <c r="R20" s="38">
        <f>N20*1.2</f>
        <v>2.5946271647134216</v>
      </c>
      <c r="S20" s="37">
        <v>384.16699999999997</v>
      </c>
      <c r="T20" s="37">
        <v>295.03399999999999</v>
      </c>
      <c r="U20" s="37">
        <v>0</v>
      </c>
      <c r="V20" s="37">
        <v>721.61099999999999</v>
      </c>
      <c r="W20" s="37">
        <v>880.59699999999998</v>
      </c>
      <c r="X20" s="37">
        <v>0</v>
      </c>
      <c r="Y20" s="37">
        <v>0.89</v>
      </c>
      <c r="Z20" s="37">
        <v>0.22800000000000001</v>
      </c>
      <c r="AA20" s="37">
        <v>0</v>
      </c>
      <c r="AB20" s="37">
        <v>0.84599999999999997</v>
      </c>
      <c r="AC20" s="37">
        <v>0.252</v>
      </c>
      <c r="AD20" s="37"/>
      <c r="AE20" s="37">
        <f t="shared" si="4"/>
        <v>2.0868798566852846E-3</v>
      </c>
      <c r="AF20" s="37">
        <f t="shared" si="5"/>
        <v>1.9987856077985713E-3</v>
      </c>
      <c r="AG20" s="37">
        <f t="shared" si="6"/>
        <v>7.3732480451191046E-4</v>
      </c>
      <c r="AH20" s="37">
        <f t="shared" si="7"/>
        <v>6.1875262417407568E-4</v>
      </c>
      <c r="AI20" s="37">
        <f t="shared" si="8"/>
        <v>0.90288505278164666</v>
      </c>
      <c r="AJ20" s="37">
        <f t="shared" si="9"/>
        <v>1.706899118029944</v>
      </c>
      <c r="AK20" s="38">
        <f t="shared" si="10"/>
        <v>1.0834620633379759</v>
      </c>
      <c r="AL20" s="38">
        <f t="shared" si="10"/>
        <v>2.0482789416359326</v>
      </c>
      <c r="AM20" s="38">
        <f t="shared" si="0"/>
        <v>0.90288505278164666</v>
      </c>
      <c r="AN20" s="38">
        <f t="shared" si="1"/>
        <v>1.706899118029944</v>
      </c>
      <c r="AO20" s="38">
        <f t="shared" ref="AO20:AO42" si="35">(T20+U20+Z20+AA20)/(E20+F20)</f>
        <v>0.95484208960436701</v>
      </c>
      <c r="AP20" s="38">
        <f t="shared" si="3"/>
        <v>2.1628080565520253</v>
      </c>
      <c r="AQ20" s="60"/>
      <c r="AR20" s="60"/>
      <c r="AS20" s="60"/>
      <c r="AT20" s="60"/>
      <c r="AU20" s="60"/>
      <c r="AV20" s="60"/>
    </row>
    <row r="21" spans="1:48" s="15" customFormat="1" x14ac:dyDescent="0.25">
      <c r="A21" s="61" t="s">
        <v>44</v>
      </c>
      <c r="B21" s="34">
        <v>453.74900000000002</v>
      </c>
      <c r="C21" s="40">
        <f>S21+T21+U21+V21+W21+X21+Y21+Z21+AA21+AB21+AC21+AD21</f>
        <v>0</v>
      </c>
      <c r="D21" s="49">
        <v>199.63399999999999</v>
      </c>
      <c r="E21" s="49">
        <v>60.488</v>
      </c>
      <c r="F21" s="49">
        <v>0</v>
      </c>
      <c r="G21" s="49">
        <v>191.66900000000001</v>
      </c>
      <c r="H21" s="49">
        <v>31.21</v>
      </c>
      <c r="I21" s="49">
        <v>0</v>
      </c>
      <c r="J21" s="49"/>
      <c r="K21" s="49">
        <v>1.23</v>
      </c>
      <c r="L21" s="49">
        <v>1.23</v>
      </c>
      <c r="M21" s="49">
        <v>1.95</v>
      </c>
      <c r="N21" s="49">
        <v>1.95</v>
      </c>
      <c r="O21" s="49">
        <v>1.476</v>
      </c>
      <c r="P21" s="49">
        <v>1.476</v>
      </c>
      <c r="Q21" s="49">
        <v>2.34</v>
      </c>
      <c r="R21" s="49">
        <v>2.34</v>
      </c>
      <c r="S21" s="49"/>
      <c r="T21" s="49"/>
      <c r="U21" s="49">
        <v>0</v>
      </c>
      <c r="V21" s="49"/>
      <c r="W21" s="49"/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f t="shared" si="4"/>
        <v>0</v>
      </c>
      <c r="AF21" s="49">
        <f t="shared" si="5"/>
        <v>0</v>
      </c>
      <c r="AG21" s="49">
        <f t="shared" si="6"/>
        <v>0</v>
      </c>
      <c r="AH21" s="49">
        <f t="shared" si="7"/>
        <v>0</v>
      </c>
      <c r="AI21" s="49">
        <f t="shared" si="8"/>
        <v>1.23</v>
      </c>
      <c r="AJ21" s="49">
        <f t="shared" si="9"/>
        <v>1.95</v>
      </c>
      <c r="AK21" s="51">
        <f t="shared" si="10"/>
        <v>1.476</v>
      </c>
      <c r="AL21" s="51">
        <f t="shared" si="10"/>
        <v>2.34</v>
      </c>
      <c r="AM21" s="51">
        <f t="shared" si="0"/>
        <v>0</v>
      </c>
      <c r="AN21" s="51">
        <f t="shared" si="1"/>
        <v>0</v>
      </c>
      <c r="AO21" s="51">
        <f t="shared" si="35"/>
        <v>0</v>
      </c>
      <c r="AP21" s="51">
        <f t="shared" si="3"/>
        <v>0</v>
      </c>
      <c r="AQ21" s="52"/>
      <c r="AR21" s="52"/>
      <c r="AS21" s="52"/>
      <c r="AT21" s="52"/>
      <c r="AU21" s="52"/>
      <c r="AV21" s="52"/>
    </row>
    <row r="22" spans="1:48" x14ac:dyDescent="0.25">
      <c r="A22" s="61" t="s">
        <v>45</v>
      </c>
      <c r="B22" s="40">
        <v>367.63299999999998</v>
      </c>
      <c r="C22" s="49">
        <v>607.24099999999999</v>
      </c>
      <c r="D22" s="49">
        <v>194.649</v>
      </c>
      <c r="E22" s="49">
        <v>64.802999999999997</v>
      </c>
      <c r="F22" s="49">
        <v>1.2430000000000001</v>
      </c>
      <c r="G22" s="49">
        <v>170.05500000000001</v>
      </c>
      <c r="H22" s="49">
        <v>62.497999999999998</v>
      </c>
      <c r="I22" s="49">
        <v>0</v>
      </c>
      <c r="J22" s="49"/>
      <c r="K22" s="49">
        <v>1.33</v>
      </c>
      <c r="L22" s="49">
        <v>1.33</v>
      </c>
      <c r="M22" s="49">
        <v>1.67</v>
      </c>
      <c r="N22" s="49">
        <v>1.67</v>
      </c>
      <c r="O22" s="49">
        <v>1.5960000000000001</v>
      </c>
      <c r="P22" s="49">
        <v>1.5960000000000001</v>
      </c>
      <c r="Q22" s="49">
        <v>2.004</v>
      </c>
      <c r="R22" s="49">
        <v>2.004</v>
      </c>
      <c r="S22" s="49">
        <v>258.88299999999998</v>
      </c>
      <c r="T22" s="49">
        <v>86.188999999999993</v>
      </c>
      <c r="U22" s="49">
        <v>1.653</v>
      </c>
      <c r="V22" s="49">
        <v>283.99200000000002</v>
      </c>
      <c r="W22" s="49">
        <v>104.371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f t="shared" si="4"/>
        <v>0</v>
      </c>
      <c r="AF22" s="49">
        <f t="shared" si="5"/>
        <v>0</v>
      </c>
      <c r="AG22" s="49">
        <f t="shared" si="6"/>
        <v>0</v>
      </c>
      <c r="AH22" s="49">
        <f t="shared" si="7"/>
        <v>0</v>
      </c>
      <c r="AI22" s="49">
        <f t="shared" si="8"/>
        <v>1.33</v>
      </c>
      <c r="AJ22" s="49">
        <f t="shared" si="9"/>
        <v>1.67</v>
      </c>
      <c r="AK22" s="51">
        <f t="shared" si="10"/>
        <v>1.5960000000000001</v>
      </c>
      <c r="AL22" s="51">
        <f t="shared" si="10"/>
        <v>2.004</v>
      </c>
      <c r="AM22" s="51">
        <f t="shared" si="0"/>
        <v>1.3299991266330675</v>
      </c>
      <c r="AN22" s="51">
        <f t="shared" si="1"/>
        <v>1.6700008820675665</v>
      </c>
      <c r="AO22" s="51">
        <f t="shared" si="35"/>
        <v>1.3300124155891351</v>
      </c>
      <c r="AP22" s="51">
        <f t="shared" si="3"/>
        <v>1.6699894396620691</v>
      </c>
      <c r="AQ22" s="56"/>
      <c r="AR22" s="56"/>
      <c r="AS22" s="56"/>
      <c r="AT22" s="56"/>
      <c r="AU22" s="56"/>
      <c r="AV22" s="56"/>
    </row>
    <row r="23" spans="1:48" s="35" customFormat="1" x14ac:dyDescent="0.25">
      <c r="A23" s="61" t="s">
        <v>46</v>
      </c>
      <c r="B23" s="36">
        <v>737.90599999999995</v>
      </c>
      <c r="C23" s="37">
        <v>1084.577</v>
      </c>
      <c r="D23" s="37">
        <v>281.11700000000002</v>
      </c>
      <c r="E23" s="37">
        <v>159.56100000000001</v>
      </c>
      <c r="F23" s="37">
        <v>0</v>
      </c>
      <c r="G23" s="37">
        <v>270.476</v>
      </c>
      <c r="H23" s="37">
        <v>120.024</v>
      </c>
      <c r="I23" s="37">
        <v>0</v>
      </c>
      <c r="J23" s="37">
        <v>423.35399999999998</v>
      </c>
      <c r="K23" s="37">
        <v>0.95299999999999996</v>
      </c>
      <c r="L23" s="37">
        <v>0.97699999999999998</v>
      </c>
      <c r="M23" s="37">
        <v>2.5049999999999999</v>
      </c>
      <c r="N23" s="37">
        <v>2.94</v>
      </c>
      <c r="O23" s="59">
        <f>K23*1.2</f>
        <v>1.1435999999999999</v>
      </c>
      <c r="P23" s="59">
        <f>L23*1.2</f>
        <v>1.1723999999999999</v>
      </c>
      <c r="Q23" s="59">
        <f>M23*1.2</f>
        <v>3.0059999999999998</v>
      </c>
      <c r="R23" s="59">
        <f>N23*1.2</f>
        <v>3.528</v>
      </c>
      <c r="S23" s="37">
        <v>267.81200000000001</v>
      </c>
      <c r="T23" s="37">
        <v>155.958</v>
      </c>
      <c r="U23" s="37">
        <v>0</v>
      </c>
      <c r="V23" s="37">
        <v>677.66399999999999</v>
      </c>
      <c r="W23" s="37">
        <v>352.93</v>
      </c>
      <c r="X23" s="37">
        <v>0</v>
      </c>
      <c r="Y23" s="37">
        <v>0</v>
      </c>
      <c r="Z23" s="37">
        <v>0</v>
      </c>
      <c r="AA23" s="37">
        <v>0</v>
      </c>
      <c r="AB23" s="37">
        <v>1.4999999999999999E-2</v>
      </c>
      <c r="AC23" s="37">
        <v>0</v>
      </c>
      <c r="AD23" s="37">
        <v>0</v>
      </c>
      <c r="AE23" s="37">
        <f t="shared" si="4"/>
        <v>0</v>
      </c>
      <c r="AF23" s="37">
        <f t="shared" si="5"/>
        <v>5.5457785533651785E-5</v>
      </c>
      <c r="AG23" s="37">
        <f t="shared" si="6"/>
        <v>0</v>
      </c>
      <c r="AH23" s="37">
        <f t="shared" si="7"/>
        <v>0</v>
      </c>
      <c r="AI23" s="37">
        <f t="shared" si="8"/>
        <v>0.95299999999999996</v>
      </c>
      <c r="AJ23" s="37">
        <f t="shared" si="9"/>
        <v>2.5050554577855335</v>
      </c>
      <c r="AK23" s="38">
        <f t="shared" si="10"/>
        <v>1.1435999999999999</v>
      </c>
      <c r="AL23" s="38">
        <f t="shared" si="10"/>
        <v>3.0060665493426399</v>
      </c>
      <c r="AM23" s="38">
        <f t="shared" si="0"/>
        <v>0.95267095195238993</v>
      </c>
      <c r="AN23" s="38">
        <f t="shared" si="1"/>
        <v>2.5055051095106404</v>
      </c>
      <c r="AO23" s="38">
        <f t="shared" si="35"/>
        <v>0.97741929418842943</v>
      </c>
      <c r="AP23" s="38">
        <f t="shared" si="3"/>
        <v>2.9404952342864759</v>
      </c>
      <c r="AQ23" s="39"/>
      <c r="AR23" s="39"/>
      <c r="AS23" s="39"/>
      <c r="AT23" s="39"/>
      <c r="AU23" s="39"/>
      <c r="AV23" s="39"/>
    </row>
    <row r="24" spans="1:48" x14ac:dyDescent="0.25">
      <c r="A24" s="61" t="s">
        <v>47</v>
      </c>
      <c r="B24" s="40">
        <v>2746.2170000000001</v>
      </c>
      <c r="C24" s="49">
        <v>4612.1769999999997</v>
      </c>
      <c r="D24" s="49">
        <v>1330.6659999999999</v>
      </c>
      <c r="E24" s="49">
        <v>1274.5820000000001</v>
      </c>
      <c r="F24" s="49">
        <v>0</v>
      </c>
      <c r="G24" s="49">
        <v>1281.3050000000001</v>
      </c>
      <c r="H24" s="49">
        <v>1208.8699999999999</v>
      </c>
      <c r="I24" s="49">
        <v>0</v>
      </c>
      <c r="J24" s="49"/>
      <c r="K24" s="49">
        <v>0.875</v>
      </c>
      <c r="L24" s="49">
        <v>0.875</v>
      </c>
      <c r="M24" s="49">
        <v>1.375</v>
      </c>
      <c r="N24" s="49">
        <v>1.375</v>
      </c>
      <c r="O24" s="49">
        <v>1.05</v>
      </c>
      <c r="P24" s="49">
        <v>1.05</v>
      </c>
      <c r="Q24" s="49">
        <v>1.65</v>
      </c>
      <c r="R24" s="49">
        <v>1.65</v>
      </c>
      <c r="S24" s="49">
        <v>1164.039</v>
      </c>
      <c r="T24" s="49">
        <v>880.26</v>
      </c>
      <c r="U24" s="49">
        <v>0</v>
      </c>
      <c r="V24" s="49">
        <v>1763.086</v>
      </c>
      <c r="W24" s="49">
        <v>1532.434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f t="shared" si="4"/>
        <v>0</v>
      </c>
      <c r="AF24" s="49">
        <f t="shared" si="5"/>
        <v>0</v>
      </c>
      <c r="AG24" s="49">
        <f t="shared" si="6"/>
        <v>0</v>
      </c>
      <c r="AH24" s="49">
        <f t="shared" si="7"/>
        <v>0</v>
      </c>
      <c r="AI24" s="49">
        <f t="shared" si="8"/>
        <v>0.875</v>
      </c>
      <c r="AJ24" s="49">
        <f t="shared" si="9"/>
        <v>1.375</v>
      </c>
      <c r="AK24" s="51">
        <f t="shared" si="10"/>
        <v>1.05</v>
      </c>
      <c r="AL24" s="51">
        <f t="shared" si="10"/>
        <v>1.65</v>
      </c>
      <c r="AM24" s="51">
        <f t="shared" si="0"/>
        <v>0.87477924588138578</v>
      </c>
      <c r="AN24" s="51">
        <f t="shared" si="1"/>
        <v>1.3760080542884012</v>
      </c>
      <c r="AO24" s="51">
        <f t="shared" si="35"/>
        <v>0.69062641713126338</v>
      </c>
      <c r="AP24" s="51">
        <f t="shared" si="3"/>
        <v>1.2676582262774327</v>
      </c>
      <c r="AQ24" s="56"/>
      <c r="AR24" s="56"/>
      <c r="AS24" s="56"/>
      <c r="AT24" s="56"/>
      <c r="AU24" s="56"/>
      <c r="AV24" s="56"/>
    </row>
    <row r="25" spans="1:48" x14ac:dyDescent="0.25">
      <c r="A25" s="61" t="s">
        <v>48</v>
      </c>
      <c r="B25" s="40">
        <v>560.16300000000001</v>
      </c>
      <c r="C25" s="49">
        <v>625.38900000000001</v>
      </c>
      <c r="D25" s="49">
        <v>129.523</v>
      </c>
      <c r="E25" s="49">
        <v>57.103000000000002</v>
      </c>
      <c r="F25" s="49">
        <v>0</v>
      </c>
      <c r="G25" s="49">
        <v>137.53700000000001</v>
      </c>
      <c r="H25" s="49">
        <v>312.48399999999998</v>
      </c>
      <c r="I25" s="49">
        <v>0</v>
      </c>
      <c r="J25" s="49"/>
      <c r="K25" s="49">
        <v>1.43</v>
      </c>
      <c r="L25" s="49">
        <v>1.52</v>
      </c>
      <c r="M25" s="49">
        <v>1.5</v>
      </c>
      <c r="N25" s="49">
        <v>1.63</v>
      </c>
      <c r="O25" s="49">
        <v>1.716</v>
      </c>
      <c r="P25" s="49">
        <v>1.8240000000000001</v>
      </c>
      <c r="Q25" s="49">
        <v>1.8</v>
      </c>
      <c r="R25" s="49">
        <v>1.956</v>
      </c>
      <c r="S25" s="49">
        <v>196.04599999999999</v>
      </c>
      <c r="T25" s="49">
        <v>89.001999999999995</v>
      </c>
      <c r="U25" s="49">
        <v>0</v>
      </c>
      <c r="V25" s="49">
        <v>219.589</v>
      </c>
      <c r="W25" s="49">
        <v>520.13</v>
      </c>
      <c r="X25" s="49"/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f t="shared" si="4"/>
        <v>0</v>
      </c>
      <c r="AF25" s="49">
        <f t="shared" si="5"/>
        <v>0</v>
      </c>
      <c r="AG25" s="49">
        <f t="shared" si="6"/>
        <v>0</v>
      </c>
      <c r="AH25" s="49">
        <f t="shared" si="7"/>
        <v>0</v>
      </c>
      <c r="AI25" s="49">
        <f t="shared" si="8"/>
        <v>1.43</v>
      </c>
      <c r="AJ25" s="49">
        <f t="shared" si="9"/>
        <v>1.5</v>
      </c>
      <c r="AK25" s="51">
        <f t="shared" si="10"/>
        <v>1.716</v>
      </c>
      <c r="AL25" s="51">
        <f t="shared" si="10"/>
        <v>1.7999999999999998</v>
      </c>
      <c r="AM25" s="51">
        <f>(S25+Y25)/D25</f>
        <v>1.513599901175853</v>
      </c>
      <c r="AN25" s="51">
        <f>(V25+AB25)/G25</f>
        <v>1.5965812835818725</v>
      </c>
      <c r="AO25" s="51">
        <f t="shared" si="35"/>
        <v>1.5586221389419119</v>
      </c>
      <c r="AP25" s="51">
        <f>(W25+X25+AC25+AD25)/(H25+I25)</f>
        <v>1.6645012224625901</v>
      </c>
      <c r="AQ25" s="56"/>
      <c r="AR25" s="56"/>
      <c r="AS25" s="56"/>
      <c r="AT25" s="56"/>
      <c r="AU25" s="56"/>
      <c r="AV25" s="56"/>
    </row>
    <row r="26" spans="1:48" s="15" customFormat="1" x14ac:dyDescent="0.25">
      <c r="A26" s="61" t="s">
        <v>49</v>
      </c>
      <c r="B26" s="40">
        <v>470.70699999999999</v>
      </c>
      <c r="C26" s="49">
        <v>811.77800000000002</v>
      </c>
      <c r="D26" s="49">
        <v>188.916</v>
      </c>
      <c r="E26" s="49">
        <v>70.283000000000001</v>
      </c>
      <c r="F26" s="49">
        <v>3.032</v>
      </c>
      <c r="G26" s="49">
        <v>172.65299999999999</v>
      </c>
      <c r="H26" s="49">
        <v>415.05399999999997</v>
      </c>
      <c r="I26" s="49">
        <v>0.20699999999999999</v>
      </c>
      <c r="J26" s="49">
        <v>32.622</v>
      </c>
      <c r="K26" s="49">
        <v>0.74</v>
      </c>
      <c r="L26" s="49">
        <v>1</v>
      </c>
      <c r="M26" s="49">
        <v>1.49</v>
      </c>
      <c r="N26" s="49">
        <v>1.64</v>
      </c>
      <c r="O26" s="49">
        <f>K26*1.2</f>
        <v>0.88800000000000001</v>
      </c>
      <c r="P26" s="49">
        <f>L26*1.2</f>
        <v>1.2</v>
      </c>
      <c r="Q26" s="49">
        <f>M26*1.2</f>
        <v>1.788</v>
      </c>
      <c r="R26" s="49">
        <f>N26*1.2</f>
        <v>1.9679999999999997</v>
      </c>
      <c r="S26" s="49">
        <v>141.03899999999999</v>
      </c>
      <c r="T26" s="49">
        <v>69.367000000000004</v>
      </c>
      <c r="U26" s="49">
        <v>3.032</v>
      </c>
      <c r="V26" s="49">
        <v>256.64699999999999</v>
      </c>
      <c r="W26" s="49">
        <v>444.93</v>
      </c>
      <c r="X26" s="49">
        <v>0.34</v>
      </c>
      <c r="Y26" s="49"/>
      <c r="Z26" s="49"/>
      <c r="AA26" s="49"/>
      <c r="AB26" s="49"/>
      <c r="AC26" s="49"/>
      <c r="AD26" s="49"/>
      <c r="AE26" s="49">
        <f t="shared" si="4"/>
        <v>0</v>
      </c>
      <c r="AF26" s="49">
        <f t="shared" si="5"/>
        <v>0</v>
      </c>
      <c r="AG26" s="49">
        <f t="shared" si="6"/>
        <v>0</v>
      </c>
      <c r="AH26" s="49">
        <f t="shared" si="7"/>
        <v>0</v>
      </c>
      <c r="AI26" s="49">
        <f t="shared" si="8"/>
        <v>0.74</v>
      </c>
      <c r="AJ26" s="49">
        <f t="shared" si="9"/>
        <v>1.49</v>
      </c>
      <c r="AK26" s="51">
        <f t="shared" si="10"/>
        <v>0.88800000000000001</v>
      </c>
      <c r="AL26" s="51">
        <f t="shared" si="10"/>
        <v>1.788</v>
      </c>
      <c r="AM26" s="51">
        <f t="shared" ref="AM26:AM42" si="36">(S26+Y26)/D26</f>
        <v>0.74656990408435486</v>
      </c>
      <c r="AN26" s="51">
        <f t="shared" ref="AN26:AN42" si="37">(V26+AB26)/G26</f>
        <v>1.4864902434362566</v>
      </c>
      <c r="AO26" s="51">
        <f t="shared" si="35"/>
        <v>0.98750596740094121</v>
      </c>
      <c r="AP26" s="51">
        <f t="shared" ref="AP26:AP42" si="38">(W26+X26+AC26+AD26)/(H26+I26)</f>
        <v>1.0722653945350034</v>
      </c>
      <c r="AQ26" s="57"/>
      <c r="AR26" s="57"/>
      <c r="AS26" s="57"/>
      <c r="AT26" s="57"/>
      <c r="AU26" s="57"/>
      <c r="AV26" s="57"/>
    </row>
    <row r="27" spans="1:48" s="35" customFormat="1" x14ac:dyDescent="0.25">
      <c r="A27" s="64" t="s">
        <v>50</v>
      </c>
      <c r="B27" s="36">
        <v>1079.135</v>
      </c>
      <c r="C27" s="37">
        <v>1682.942</v>
      </c>
      <c r="D27" s="37">
        <v>451.16699999999997</v>
      </c>
      <c r="E27" s="37">
        <v>197.72200000000001</v>
      </c>
      <c r="F27" s="37">
        <v>0</v>
      </c>
      <c r="G27" s="37">
        <v>446.00099999999998</v>
      </c>
      <c r="H27" s="37">
        <v>761.28599999999994</v>
      </c>
      <c r="I27" s="37">
        <v>0</v>
      </c>
      <c r="J27" s="37">
        <v>1123.924</v>
      </c>
      <c r="K27" s="37">
        <v>1.2</v>
      </c>
      <c r="L27" s="37">
        <v>1.2</v>
      </c>
      <c r="M27" s="37">
        <v>1.1499999999999999</v>
      </c>
      <c r="N27" s="37">
        <v>1.1499999999999999</v>
      </c>
      <c r="O27" s="37">
        <v>1.44</v>
      </c>
      <c r="P27" s="37">
        <v>1.44</v>
      </c>
      <c r="Q27" s="37">
        <v>1.38</v>
      </c>
      <c r="R27" s="37">
        <v>1.38</v>
      </c>
      <c r="S27" s="37">
        <v>541.4</v>
      </c>
      <c r="T27" s="37">
        <v>237.26599999999999</v>
      </c>
      <c r="U27" s="37">
        <v>0</v>
      </c>
      <c r="V27" s="37">
        <v>512.90099999999995</v>
      </c>
      <c r="W27" s="37">
        <v>875.47900000000004</v>
      </c>
      <c r="X27" s="37">
        <v>0</v>
      </c>
      <c r="Y27" s="37"/>
      <c r="Z27" s="37"/>
      <c r="AA27" s="37"/>
      <c r="AB27" s="37"/>
      <c r="AC27" s="37"/>
      <c r="AD27" s="37"/>
      <c r="AE27" s="37">
        <f t="shared" si="4"/>
        <v>0</v>
      </c>
      <c r="AF27" s="37">
        <f t="shared" si="5"/>
        <v>0</v>
      </c>
      <c r="AG27" s="37">
        <f t="shared" si="6"/>
        <v>0</v>
      </c>
      <c r="AH27" s="37">
        <f t="shared" si="7"/>
        <v>0</v>
      </c>
      <c r="AI27" s="37">
        <f t="shared" si="8"/>
        <v>1.2</v>
      </c>
      <c r="AJ27" s="37">
        <f t="shared" si="9"/>
        <v>1.1499999999999999</v>
      </c>
      <c r="AK27" s="38">
        <f t="shared" si="10"/>
        <v>1.44</v>
      </c>
      <c r="AL27" s="38">
        <f t="shared" si="10"/>
        <v>1.38</v>
      </c>
      <c r="AM27" s="38">
        <f t="shared" si="36"/>
        <v>1.1999991134103336</v>
      </c>
      <c r="AN27" s="38">
        <f t="shared" si="37"/>
        <v>1.149999663677884</v>
      </c>
      <c r="AO27" s="38">
        <f t="shared" si="35"/>
        <v>1.1999979769575464</v>
      </c>
      <c r="AP27" s="38">
        <f t="shared" si="38"/>
        <v>1.1500001313566781</v>
      </c>
      <c r="AQ27" s="39"/>
      <c r="AR27" s="39"/>
      <c r="AS27" s="39"/>
      <c r="AT27" s="39"/>
      <c r="AU27" s="39"/>
      <c r="AV27" s="39"/>
    </row>
    <row r="28" spans="1:48" x14ac:dyDescent="0.25">
      <c r="A28" s="61" t="s">
        <v>51</v>
      </c>
      <c r="B28" s="40">
        <v>309.97899999999998</v>
      </c>
      <c r="C28" s="49">
        <v>475.51299999999998</v>
      </c>
      <c r="D28" s="49">
        <v>185.203</v>
      </c>
      <c r="E28" s="49">
        <v>99.751999999999995</v>
      </c>
      <c r="F28" s="49">
        <v>0</v>
      </c>
      <c r="G28" s="49">
        <v>173.768</v>
      </c>
      <c r="H28" s="49">
        <v>145.74700000000001</v>
      </c>
      <c r="I28" s="49">
        <v>0</v>
      </c>
      <c r="J28" s="49"/>
      <c r="K28" s="49">
        <v>0.76</v>
      </c>
      <c r="L28" s="49">
        <v>0.76</v>
      </c>
      <c r="M28" s="49">
        <v>1.1399999999999999</v>
      </c>
      <c r="N28" s="49">
        <v>1.1399999999999999</v>
      </c>
      <c r="O28" s="49">
        <v>0.91200000000000003</v>
      </c>
      <c r="P28" s="49">
        <v>0.91200000000000003</v>
      </c>
      <c r="Q28" s="49">
        <v>1.3680000000000001</v>
      </c>
      <c r="R28" s="49">
        <v>1.3680000000000001</v>
      </c>
      <c r="S28" s="49">
        <v>140.75200000000001</v>
      </c>
      <c r="T28" s="49">
        <v>75.811000000000007</v>
      </c>
      <c r="U28" s="49">
        <v>0</v>
      </c>
      <c r="V28" s="49">
        <v>198.096</v>
      </c>
      <c r="W28" s="49">
        <v>166.15199999999999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f t="shared" si="4"/>
        <v>0</v>
      </c>
      <c r="AF28" s="49">
        <f t="shared" si="5"/>
        <v>0</v>
      </c>
      <c r="AG28" s="49">
        <f t="shared" si="6"/>
        <v>0</v>
      </c>
      <c r="AH28" s="49">
        <f t="shared" si="7"/>
        <v>0</v>
      </c>
      <c r="AI28" s="49">
        <f t="shared" si="8"/>
        <v>0.76</v>
      </c>
      <c r="AJ28" s="49">
        <f t="shared" si="9"/>
        <v>1.1399999999999999</v>
      </c>
      <c r="AK28" s="51">
        <f t="shared" si="10"/>
        <v>0.91199999999999992</v>
      </c>
      <c r="AL28" s="51">
        <f t="shared" si="10"/>
        <v>1.3679999999999999</v>
      </c>
      <c r="AM28" s="51">
        <f t="shared" si="36"/>
        <v>0.75998768918430049</v>
      </c>
      <c r="AN28" s="51">
        <f t="shared" si="37"/>
        <v>1.1400027623037614</v>
      </c>
      <c r="AO28" s="51">
        <f>(T28+U28+Z28+AA28)/(E28+F28)</f>
        <v>0.75999478707193846</v>
      </c>
      <c r="AP28" s="51">
        <f t="shared" si="38"/>
        <v>1.1400028817059698</v>
      </c>
      <c r="AQ28" s="56"/>
      <c r="AR28" s="56"/>
      <c r="AS28" s="56"/>
      <c r="AT28" s="56"/>
      <c r="AU28" s="56"/>
      <c r="AV28" s="56"/>
    </row>
    <row r="29" spans="1:48" x14ac:dyDescent="0.25">
      <c r="A29" s="61" t="s">
        <v>52</v>
      </c>
      <c r="B29" s="62"/>
      <c r="C29" s="49">
        <v>220.07400000000001</v>
      </c>
      <c r="D29" s="49"/>
      <c r="E29" s="49"/>
      <c r="F29" s="49">
        <v>0</v>
      </c>
      <c r="G29" s="49"/>
      <c r="H29" s="49"/>
      <c r="I29" s="49">
        <v>0</v>
      </c>
      <c r="J29" s="49"/>
      <c r="K29" s="49">
        <v>2.09</v>
      </c>
      <c r="L29" s="49">
        <v>2.14</v>
      </c>
      <c r="M29" s="49">
        <v>2.11</v>
      </c>
      <c r="N29" s="49">
        <v>2.39</v>
      </c>
      <c r="O29" s="49">
        <v>2.5099999999999998</v>
      </c>
      <c r="P29" s="49">
        <v>2.57</v>
      </c>
      <c r="Q29" s="49">
        <v>2.5299999999999998</v>
      </c>
      <c r="R29" s="49">
        <v>2.87</v>
      </c>
      <c r="S29" s="49"/>
      <c r="T29" s="49"/>
      <c r="U29" s="49">
        <v>0</v>
      </c>
      <c r="V29" s="49"/>
      <c r="W29" s="49"/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 t="e">
        <f t="shared" ref="AE29" si="39">Y29/D29</f>
        <v>#DIV/0!</v>
      </c>
      <c r="AF29" s="49" t="e">
        <f t="shared" ref="AF29" si="40">AB29/G29</f>
        <v>#DIV/0!</v>
      </c>
      <c r="AG29" s="49" t="e">
        <f t="shared" ref="AG29" si="41">(Z29+AA29)/(E29+F29)</f>
        <v>#DIV/0!</v>
      </c>
      <c r="AH29" s="49" t="e">
        <f t="shared" ref="AH29" si="42">(AC29+AD29)/(H29+I29)</f>
        <v>#DIV/0!</v>
      </c>
      <c r="AI29" s="49" t="e">
        <f t="shared" ref="AI29" si="43">K29+AE29</f>
        <v>#DIV/0!</v>
      </c>
      <c r="AJ29" s="49" t="e">
        <f t="shared" ref="AJ29" si="44">M29+AF29</f>
        <v>#DIV/0!</v>
      </c>
      <c r="AK29" s="51" t="e">
        <f t="shared" ref="AK29" si="45">AI29*1.2</f>
        <v>#DIV/0!</v>
      </c>
      <c r="AL29" s="51" t="e">
        <f t="shared" ref="AL29" si="46">AJ29*1.2</f>
        <v>#DIV/0!</v>
      </c>
      <c r="AM29" s="51" t="e">
        <f>(S29+Y29)/D29</f>
        <v>#DIV/0!</v>
      </c>
      <c r="AN29" s="51" t="e">
        <f>(V29+AB29)/G29</f>
        <v>#DIV/0!</v>
      </c>
      <c r="AO29" s="51" t="e">
        <f t="shared" ref="AO29" si="47">(T29+U29+Z29+AA29)/(E29+F29)</f>
        <v>#DIV/0!</v>
      </c>
      <c r="AP29" s="51" t="e">
        <f>(W29+X29+AC29+AD29)/(H29+I29)</f>
        <v>#DIV/0!</v>
      </c>
      <c r="AQ29" s="56"/>
      <c r="AR29" s="56"/>
      <c r="AS29" s="56"/>
      <c r="AT29" s="56"/>
      <c r="AU29" s="56"/>
      <c r="AV29" s="56"/>
    </row>
    <row r="30" spans="1:48" s="35" customFormat="1" x14ac:dyDescent="0.25">
      <c r="A30" s="61" t="s">
        <v>53</v>
      </c>
      <c r="B30" s="36">
        <v>78.484999999999999</v>
      </c>
      <c r="C30" s="37">
        <v>220.07400000000001</v>
      </c>
      <c r="D30" s="37">
        <f>28.28+22.75</f>
        <v>51.03</v>
      </c>
      <c r="E30" s="37">
        <f>10.546+7.486</f>
        <v>18.032</v>
      </c>
      <c r="F30" s="37">
        <v>0</v>
      </c>
      <c r="G30" s="37">
        <f>24.157+20.307</f>
        <v>44.463999999999999</v>
      </c>
      <c r="H30" s="37">
        <f>7.656+5.122</f>
        <v>12.777999999999999</v>
      </c>
      <c r="I30" s="37">
        <v>0</v>
      </c>
      <c r="J30" s="37"/>
      <c r="K30" s="37">
        <v>0.96</v>
      </c>
      <c r="L30" s="37">
        <v>0.96</v>
      </c>
      <c r="M30" s="37">
        <v>1.28</v>
      </c>
      <c r="N30" s="37">
        <v>1.28</v>
      </c>
      <c r="O30" s="37">
        <v>1.1519999999999999</v>
      </c>
      <c r="P30" s="37">
        <v>1.1519999999999999</v>
      </c>
      <c r="Q30" s="37">
        <v>1.536</v>
      </c>
      <c r="R30" s="37">
        <v>1.536</v>
      </c>
      <c r="S30" s="37">
        <f>27.161+21.86</f>
        <v>49.021000000000001</v>
      </c>
      <c r="T30" s="37">
        <f>10.191+7.149</f>
        <v>17.34</v>
      </c>
      <c r="U30" s="37">
        <v>0</v>
      </c>
      <c r="V30" s="37">
        <f>31.15+26.091</f>
        <v>57.241</v>
      </c>
      <c r="W30" s="37">
        <f>9.984+6.61</f>
        <v>16.594000000000001</v>
      </c>
      <c r="X30" s="37">
        <v>0</v>
      </c>
      <c r="Y30" s="37"/>
      <c r="Z30" s="37"/>
      <c r="AA30" s="37"/>
      <c r="AB30" s="37">
        <v>0.46200000000000002</v>
      </c>
      <c r="AC30" s="37">
        <v>6.3E-2</v>
      </c>
      <c r="AD30" s="37">
        <v>0</v>
      </c>
      <c r="AE30" s="37">
        <f t="shared" ref="AE30" si="48">Y30/D30</f>
        <v>0</v>
      </c>
      <c r="AF30" s="37">
        <f t="shared" ref="AF30" si="49">AB30/G30</f>
        <v>1.0390428211586903E-2</v>
      </c>
      <c r="AG30" s="37">
        <f t="shared" ref="AG30" si="50">(Z30+AA30)/(E30+F30)</f>
        <v>0</v>
      </c>
      <c r="AH30" s="37">
        <f t="shared" ref="AH30" si="51">(AC30+AD30)/(H30+I30)</f>
        <v>4.9303490374080459E-3</v>
      </c>
      <c r="AI30" s="37">
        <f t="shared" ref="AI30" si="52">K30+AE30</f>
        <v>0.96</v>
      </c>
      <c r="AJ30" s="37">
        <f t="shared" ref="AJ30" si="53">M30+AF30</f>
        <v>1.290390428211587</v>
      </c>
      <c r="AK30" s="38">
        <f t="shared" ref="AK30" si="54">AI30*1.2</f>
        <v>1.1519999999999999</v>
      </c>
      <c r="AL30" s="38">
        <f t="shared" ref="AL30" si="55">AJ30*1.2</f>
        <v>1.5484685138539043</v>
      </c>
      <c r="AM30" s="38">
        <f>(S30+Y30)/D30</f>
        <v>0.96063100137174207</v>
      </c>
      <c r="AN30" s="38">
        <f>(V30+AB30)/G30</f>
        <v>1.2977464915437209</v>
      </c>
      <c r="AO30" s="38">
        <f t="shared" ref="AO30" si="56">(T30+U30+Z30+AA30)/(E30+F30)</f>
        <v>0.96162377994676129</v>
      </c>
      <c r="AP30" s="38">
        <f>(W30+X30+AC30+AD30)/(H30+I30)</f>
        <v>1.3035686335889811</v>
      </c>
      <c r="AQ30" s="39"/>
      <c r="AR30" s="39"/>
      <c r="AS30" s="39"/>
      <c r="AT30" s="39"/>
      <c r="AU30" s="39"/>
      <c r="AV30" s="39"/>
    </row>
    <row r="31" spans="1:48" s="15" customFormat="1" x14ac:dyDescent="0.25">
      <c r="A31" s="61" t="s">
        <v>54</v>
      </c>
      <c r="B31" s="4">
        <v>603.72799999999995</v>
      </c>
      <c r="C31" s="40">
        <f>491.034+474.941</f>
        <v>965.97499999999991</v>
      </c>
      <c r="D31" s="49">
        <v>218.685</v>
      </c>
      <c r="E31" s="49">
        <v>77.983999999999995</v>
      </c>
      <c r="F31" s="49"/>
      <c r="G31" s="49">
        <v>189.851</v>
      </c>
      <c r="H31" s="49">
        <v>293.81700000000001</v>
      </c>
      <c r="I31" s="49"/>
      <c r="J31" s="49"/>
      <c r="K31" s="49">
        <v>1.254</v>
      </c>
      <c r="L31" s="49">
        <v>1.4419999999999999</v>
      </c>
      <c r="M31" s="49">
        <v>1.3129999999999999</v>
      </c>
      <c r="N31" s="49">
        <v>1.97</v>
      </c>
      <c r="O31" s="49">
        <f>K31*1.2</f>
        <v>1.5047999999999999</v>
      </c>
      <c r="P31" s="49">
        <f>L31*1.2</f>
        <v>1.7303999999999999</v>
      </c>
      <c r="Q31" s="49">
        <f>M31*1.2</f>
        <v>1.5755999999999999</v>
      </c>
      <c r="R31" s="49">
        <f>N31*1.2</f>
        <v>2.3639999999999999</v>
      </c>
      <c r="S31" s="49">
        <v>274.19</v>
      </c>
      <c r="T31" s="49">
        <v>112.48399999999999</v>
      </c>
      <c r="U31" s="49"/>
      <c r="V31" s="49">
        <v>249.21299999999999</v>
      </c>
      <c r="W31" s="49">
        <v>578.91899999999998</v>
      </c>
      <c r="X31" s="49"/>
      <c r="Y31" s="49">
        <v>0</v>
      </c>
      <c r="Z31" s="49">
        <v>0</v>
      </c>
      <c r="AA31" s="49"/>
      <c r="AB31" s="49">
        <v>0</v>
      </c>
      <c r="AC31" s="49">
        <v>0</v>
      </c>
      <c r="AD31" s="49"/>
      <c r="AE31" s="49">
        <v>0</v>
      </c>
      <c r="AF31" s="49">
        <v>0</v>
      </c>
      <c r="AG31" s="49">
        <v>0</v>
      </c>
      <c r="AH31" s="49">
        <v>0</v>
      </c>
      <c r="AI31" s="49">
        <f t="shared" si="8"/>
        <v>1.254</v>
      </c>
      <c r="AJ31" s="49">
        <f t="shared" si="9"/>
        <v>1.3129999999999999</v>
      </c>
      <c r="AK31" s="51">
        <f t="shared" si="10"/>
        <v>1.5047999999999999</v>
      </c>
      <c r="AL31" s="51">
        <f t="shared" si="10"/>
        <v>1.5755999999999999</v>
      </c>
      <c r="AM31" s="51">
        <f t="shared" si="36"/>
        <v>1.2538125614468298</v>
      </c>
      <c r="AN31" s="51">
        <f t="shared" si="37"/>
        <v>1.3126767833722235</v>
      </c>
      <c r="AO31" s="51">
        <f t="shared" si="35"/>
        <v>1.4423984407057859</v>
      </c>
      <c r="AP31" s="51">
        <f t="shared" si="38"/>
        <v>1.9703386801988991</v>
      </c>
      <c r="AQ31" s="57"/>
      <c r="AR31" s="57"/>
      <c r="AS31" s="57"/>
      <c r="AT31" s="57"/>
      <c r="AU31" s="57"/>
      <c r="AV31" s="57"/>
    </row>
    <row r="32" spans="1:48" x14ac:dyDescent="0.25">
      <c r="A32" s="61" t="s">
        <v>55</v>
      </c>
      <c r="B32" s="40">
        <v>530.42399999999998</v>
      </c>
      <c r="C32" s="49">
        <v>982.803</v>
      </c>
      <c r="D32" s="49">
        <v>490.40100000000001</v>
      </c>
      <c r="E32" s="49">
        <v>63.036000000000001</v>
      </c>
      <c r="F32" s="49">
        <v>0</v>
      </c>
      <c r="G32" s="49">
        <v>490.06</v>
      </c>
      <c r="H32" s="49">
        <v>129.56100000000001</v>
      </c>
      <c r="I32" s="49">
        <v>0</v>
      </c>
      <c r="J32" s="49">
        <v>248.84100000000001</v>
      </c>
      <c r="K32" s="49">
        <v>0.93</v>
      </c>
      <c r="L32" s="49">
        <v>1.04</v>
      </c>
      <c r="M32" s="49">
        <v>0.83</v>
      </c>
      <c r="N32" s="49">
        <v>0.98</v>
      </c>
      <c r="O32" s="49">
        <v>1.1160000000000001</v>
      </c>
      <c r="P32" s="49">
        <v>1.248</v>
      </c>
      <c r="Q32" s="49">
        <v>0.996</v>
      </c>
      <c r="R32" s="49">
        <v>1.1759999999999999</v>
      </c>
      <c r="S32" s="49">
        <v>456.09399999999999</v>
      </c>
      <c r="T32" s="49">
        <v>65.411000000000001</v>
      </c>
      <c r="U32" s="49">
        <v>0</v>
      </c>
      <c r="V32" s="49">
        <v>406.767</v>
      </c>
      <c r="W32" s="49">
        <v>147.63200000000001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f t="shared" si="4"/>
        <v>0</v>
      </c>
      <c r="AF32" s="49">
        <f t="shared" si="5"/>
        <v>0</v>
      </c>
      <c r="AG32" s="49">
        <f t="shared" si="6"/>
        <v>0</v>
      </c>
      <c r="AH32" s="49">
        <f t="shared" si="7"/>
        <v>0</v>
      </c>
      <c r="AI32" s="49">
        <f t="shared" si="8"/>
        <v>0.93</v>
      </c>
      <c r="AJ32" s="49">
        <f t="shared" si="9"/>
        <v>0.83</v>
      </c>
      <c r="AK32" s="51">
        <f t="shared" si="10"/>
        <v>1.1160000000000001</v>
      </c>
      <c r="AL32" s="51">
        <f t="shared" si="10"/>
        <v>0.99599999999999989</v>
      </c>
      <c r="AM32" s="51">
        <f t="shared" si="36"/>
        <v>0.93004296483897864</v>
      </c>
      <c r="AN32" s="51">
        <f t="shared" si="37"/>
        <v>0.83003509774313344</v>
      </c>
      <c r="AO32" s="51">
        <f t="shared" si="35"/>
        <v>1.0376768830509551</v>
      </c>
      <c r="AP32" s="51">
        <f t="shared" si="38"/>
        <v>1.1394787011523528</v>
      </c>
      <c r="AQ32" s="56"/>
      <c r="AR32" s="56"/>
      <c r="AS32" s="56"/>
      <c r="AT32" s="56"/>
      <c r="AU32" s="56"/>
      <c r="AV32" s="56"/>
    </row>
    <row r="33" spans="1:48" s="35" customFormat="1" x14ac:dyDescent="0.25">
      <c r="A33" s="61" t="s">
        <v>56</v>
      </c>
      <c r="B33" s="36">
        <v>527.92200000000003</v>
      </c>
      <c r="C33" s="37">
        <v>684.79899999999998</v>
      </c>
      <c r="D33" s="37">
        <v>328.21</v>
      </c>
      <c r="E33" s="37">
        <v>34.389000000000003</v>
      </c>
      <c r="F33" s="37">
        <v>0</v>
      </c>
      <c r="G33" s="37">
        <v>301.49799999999999</v>
      </c>
      <c r="H33" s="37">
        <v>33.162999999999997</v>
      </c>
      <c r="I33" s="37">
        <v>0</v>
      </c>
      <c r="J33" s="37"/>
      <c r="K33" s="37">
        <v>1.1200000000000001</v>
      </c>
      <c r="L33" s="37">
        <v>1.87</v>
      </c>
      <c r="M33" s="37">
        <v>1.69</v>
      </c>
      <c r="N33" s="37">
        <v>2.82</v>
      </c>
      <c r="O33" s="37">
        <v>1.3440000000000001</v>
      </c>
      <c r="P33" s="37">
        <v>2.2440000000000002</v>
      </c>
      <c r="Q33" s="37">
        <v>2.028</v>
      </c>
      <c r="R33" s="37">
        <v>3.3839999999999999</v>
      </c>
      <c r="S33" s="37">
        <v>367.59500000000003</v>
      </c>
      <c r="T33" s="37">
        <v>58.213000000000001</v>
      </c>
      <c r="U33" s="37"/>
      <c r="V33" s="37">
        <v>509.53100000000001</v>
      </c>
      <c r="W33" s="37">
        <v>84.337000000000003</v>
      </c>
      <c r="X33" s="37"/>
      <c r="Y33" s="37"/>
      <c r="Z33" s="37"/>
      <c r="AA33" s="37"/>
      <c r="AB33" s="37"/>
      <c r="AC33" s="37"/>
      <c r="AD33" s="37"/>
      <c r="AE33" s="37">
        <f t="shared" si="4"/>
        <v>0</v>
      </c>
      <c r="AF33" s="37">
        <f t="shared" si="5"/>
        <v>0</v>
      </c>
      <c r="AG33" s="37">
        <f t="shared" si="6"/>
        <v>0</v>
      </c>
      <c r="AH33" s="37">
        <f t="shared" si="7"/>
        <v>0</v>
      </c>
      <c r="AI33" s="37">
        <f t="shared" si="8"/>
        <v>1.1200000000000001</v>
      </c>
      <c r="AJ33" s="37">
        <f t="shared" si="9"/>
        <v>1.69</v>
      </c>
      <c r="AK33" s="38">
        <f t="shared" si="10"/>
        <v>1.3440000000000001</v>
      </c>
      <c r="AL33" s="38">
        <f t="shared" si="10"/>
        <v>2.028</v>
      </c>
      <c r="AM33" s="38">
        <f t="shared" si="36"/>
        <v>1.1199993906340455</v>
      </c>
      <c r="AN33" s="38">
        <f t="shared" si="37"/>
        <v>1.6899979436016159</v>
      </c>
      <c r="AO33" s="38">
        <f t="shared" si="35"/>
        <v>1.6927796679170664</v>
      </c>
      <c r="AP33" s="38">
        <f t="shared" si="38"/>
        <v>2.5431052679190667</v>
      </c>
      <c r="AQ33" s="39"/>
      <c r="AR33" s="39"/>
      <c r="AS33" s="39"/>
      <c r="AT33" s="39"/>
      <c r="AU33" s="39"/>
      <c r="AV33" s="39"/>
    </row>
    <row r="34" spans="1:48" s="15" customFormat="1" x14ac:dyDescent="0.25">
      <c r="A34" s="61" t="s">
        <v>57</v>
      </c>
      <c r="B34" s="40">
        <v>26315.43</v>
      </c>
      <c r="C34" s="49">
        <v>50832</v>
      </c>
      <c r="D34" s="49">
        <v>14924.481</v>
      </c>
      <c r="E34" s="49">
        <v>5057.1589999999997</v>
      </c>
      <c r="F34" s="49">
        <v>0</v>
      </c>
      <c r="G34" s="50">
        <v>14853.227000000001</v>
      </c>
      <c r="H34" s="49">
        <v>5523.6559999999999</v>
      </c>
      <c r="I34" s="49">
        <v>0</v>
      </c>
      <c r="J34" s="49">
        <v>16042.575999999999</v>
      </c>
      <c r="K34" s="49">
        <v>0.95</v>
      </c>
      <c r="L34" s="49">
        <v>2.3199999999999998</v>
      </c>
      <c r="M34" s="49">
        <v>0.78</v>
      </c>
      <c r="N34" s="49">
        <v>1.72</v>
      </c>
      <c r="O34" s="49">
        <v>1.1399999999999999</v>
      </c>
      <c r="P34" s="49">
        <v>2.78</v>
      </c>
      <c r="Q34" s="49">
        <v>0.94</v>
      </c>
      <c r="R34" s="49">
        <v>2.06</v>
      </c>
      <c r="S34" s="49">
        <v>14179.16</v>
      </c>
      <c r="T34" s="49">
        <v>11733.195</v>
      </c>
      <c r="U34" s="49">
        <v>0</v>
      </c>
      <c r="V34" s="49">
        <v>11585.517</v>
      </c>
      <c r="W34" s="49">
        <v>9512.86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f t="shared" si="4"/>
        <v>0</v>
      </c>
      <c r="AF34" s="49">
        <f t="shared" si="5"/>
        <v>0</v>
      </c>
      <c r="AG34" s="49">
        <f t="shared" si="6"/>
        <v>0</v>
      </c>
      <c r="AH34" s="49">
        <f t="shared" si="7"/>
        <v>0</v>
      </c>
      <c r="AI34" s="49">
        <f t="shared" si="8"/>
        <v>0.95</v>
      </c>
      <c r="AJ34" s="49">
        <f t="shared" si="9"/>
        <v>0.78</v>
      </c>
      <c r="AK34" s="51">
        <f t="shared" si="10"/>
        <v>1.1399999999999999</v>
      </c>
      <c r="AL34" s="51">
        <f t="shared" si="10"/>
        <v>0.93599999999999994</v>
      </c>
      <c r="AM34" s="51">
        <f t="shared" si="36"/>
        <v>0.95006050796674268</v>
      </c>
      <c r="AN34" s="51">
        <f t="shared" si="37"/>
        <v>0.77999999596047376</v>
      </c>
      <c r="AO34" s="51">
        <f t="shared" si="35"/>
        <v>2.3201158990650681</v>
      </c>
      <c r="AP34" s="51">
        <f t="shared" si="38"/>
        <v>1.7222035550367367</v>
      </c>
      <c r="AQ34" s="57"/>
      <c r="AR34" s="57"/>
      <c r="AS34" s="57"/>
      <c r="AT34" s="57"/>
      <c r="AU34" s="57"/>
      <c r="AV34" s="57"/>
    </row>
    <row r="35" spans="1:48" x14ac:dyDescent="0.25">
      <c r="A35" s="61" t="s">
        <v>58</v>
      </c>
      <c r="B35" s="40">
        <v>343.322</v>
      </c>
      <c r="C35" s="49">
        <v>479.52100000000002</v>
      </c>
      <c r="D35" s="49">
        <v>158.12200000000001</v>
      </c>
      <c r="E35" s="49">
        <v>148.702</v>
      </c>
      <c r="F35" s="49">
        <v>0</v>
      </c>
      <c r="G35" s="49">
        <v>144.91200000000001</v>
      </c>
      <c r="H35" s="49">
        <v>141.42599999999999</v>
      </c>
      <c r="I35" s="49">
        <v>0</v>
      </c>
      <c r="J35" s="49"/>
      <c r="K35" s="49">
        <v>0.9</v>
      </c>
      <c r="L35" s="49">
        <v>1.05</v>
      </c>
      <c r="M35" s="49">
        <v>1.18</v>
      </c>
      <c r="N35" s="49">
        <v>1.37</v>
      </c>
      <c r="O35" s="49">
        <v>1.08</v>
      </c>
      <c r="P35" s="49">
        <v>1.26</v>
      </c>
      <c r="Q35" s="49">
        <v>1.4159999999999999</v>
      </c>
      <c r="R35" s="49">
        <v>1.6439999999999999</v>
      </c>
      <c r="S35" s="49">
        <v>142.31</v>
      </c>
      <c r="T35" s="49">
        <v>156.136</v>
      </c>
      <c r="U35" s="49">
        <v>0</v>
      </c>
      <c r="V35" s="49">
        <v>170.99600000000001</v>
      </c>
      <c r="W35" s="49">
        <v>193.75399999999999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f t="shared" si="4"/>
        <v>0</v>
      </c>
      <c r="AF35" s="49">
        <f t="shared" si="5"/>
        <v>0</v>
      </c>
      <c r="AG35" s="49">
        <f t="shared" si="6"/>
        <v>0</v>
      </c>
      <c r="AH35" s="49">
        <f t="shared" si="7"/>
        <v>0</v>
      </c>
      <c r="AI35" s="49">
        <f t="shared" si="8"/>
        <v>0.9</v>
      </c>
      <c r="AJ35" s="49">
        <f t="shared" si="9"/>
        <v>1.18</v>
      </c>
      <c r="AK35" s="51">
        <f t="shared" si="10"/>
        <v>1.08</v>
      </c>
      <c r="AL35" s="51">
        <f t="shared" si="10"/>
        <v>1.4159999999999999</v>
      </c>
      <c r="AM35" s="51">
        <f t="shared" si="36"/>
        <v>0.90000126484613141</v>
      </c>
      <c r="AN35" s="51">
        <f t="shared" si="37"/>
        <v>1.1799988958816385</v>
      </c>
      <c r="AO35" s="51">
        <f>(T35+U35+Z35+AA35)/(E35+F35)</f>
        <v>1.0499926026549744</v>
      </c>
      <c r="AP35" s="51">
        <f t="shared" si="38"/>
        <v>1.3700026869175399</v>
      </c>
      <c r="AQ35" s="56"/>
      <c r="AR35" s="56"/>
      <c r="AS35" s="56"/>
      <c r="AT35" s="56"/>
      <c r="AU35" s="56"/>
      <c r="AV35" s="56"/>
    </row>
    <row r="36" spans="1:48" s="35" customFormat="1" x14ac:dyDescent="0.25">
      <c r="A36" s="61" t="s">
        <v>59</v>
      </c>
      <c r="B36" s="36">
        <v>4762.8639999999996</v>
      </c>
      <c r="C36" s="37">
        <v>8115.5020000000004</v>
      </c>
      <c r="D36" s="59">
        <v>3121.5949999999998</v>
      </c>
      <c r="E36" s="37">
        <v>1629.9</v>
      </c>
      <c r="F36" s="37">
        <v>0</v>
      </c>
      <c r="G36" s="37">
        <v>3137.11</v>
      </c>
      <c r="H36" s="37">
        <v>2003.9639999999999</v>
      </c>
      <c r="I36" s="37">
        <v>0</v>
      </c>
      <c r="J36" s="37">
        <v>4026.761</v>
      </c>
      <c r="K36" s="37">
        <v>0.61599999999999999</v>
      </c>
      <c r="L36" s="37">
        <v>0.61599999999999999</v>
      </c>
      <c r="M36" s="37">
        <v>1.08</v>
      </c>
      <c r="N36" s="37">
        <v>1.08</v>
      </c>
      <c r="O36" s="37">
        <v>0.73899999999999999</v>
      </c>
      <c r="P36" s="37">
        <v>0.73899999999999999</v>
      </c>
      <c r="Q36" s="37">
        <v>1.296</v>
      </c>
      <c r="R36" s="37">
        <v>1.296</v>
      </c>
      <c r="S36" s="37">
        <v>1925.778</v>
      </c>
      <c r="T36" s="37">
        <v>1003.996</v>
      </c>
      <c r="U36" s="37">
        <v>0</v>
      </c>
      <c r="V36" s="37">
        <v>3404.39</v>
      </c>
      <c r="W36" s="37">
        <v>3190.748</v>
      </c>
      <c r="X36" s="37"/>
      <c r="Y36" s="37"/>
      <c r="Z36" s="37"/>
      <c r="AA36" s="37"/>
      <c r="AB36" s="37"/>
      <c r="AC36" s="37"/>
      <c r="AD36" s="37"/>
      <c r="AE36" s="37">
        <f t="shared" si="4"/>
        <v>0</v>
      </c>
      <c r="AF36" s="37">
        <f t="shared" si="5"/>
        <v>0</v>
      </c>
      <c r="AG36" s="37">
        <f t="shared" si="6"/>
        <v>0</v>
      </c>
      <c r="AH36" s="37">
        <f t="shared" si="7"/>
        <v>0</v>
      </c>
      <c r="AI36" s="37">
        <f t="shared" si="8"/>
        <v>0.61599999999999999</v>
      </c>
      <c r="AJ36" s="37">
        <f t="shared" si="9"/>
        <v>1.08</v>
      </c>
      <c r="AK36" s="38">
        <f t="shared" si="10"/>
        <v>0.73919999999999997</v>
      </c>
      <c r="AL36" s="38">
        <f t="shared" si="10"/>
        <v>1.296</v>
      </c>
      <c r="AM36" s="38">
        <f t="shared" si="36"/>
        <v>0.61692115729298647</v>
      </c>
      <c r="AN36" s="38">
        <f t="shared" si="37"/>
        <v>1.0851994351489109</v>
      </c>
      <c r="AO36" s="38">
        <f t="shared" si="35"/>
        <v>0.61598625682557206</v>
      </c>
      <c r="AP36" s="38">
        <f t="shared" si="38"/>
        <v>1.5922182234810607</v>
      </c>
      <c r="AQ36" s="39"/>
      <c r="AR36" s="39"/>
      <c r="AS36" s="39"/>
      <c r="AT36" s="39"/>
      <c r="AU36" s="39"/>
      <c r="AV36" s="39"/>
    </row>
    <row r="37" spans="1:48" x14ac:dyDescent="0.25">
      <c r="A37" s="61" t="s">
        <v>60</v>
      </c>
      <c r="B37" s="40">
        <v>118.496</v>
      </c>
      <c r="C37" s="40">
        <f>100.746+122.093</f>
        <v>222.839</v>
      </c>
      <c r="D37" s="50">
        <v>39.127000000000002</v>
      </c>
      <c r="E37" s="49">
        <v>7.8659999999999997</v>
      </c>
      <c r="F37" s="49">
        <v>0</v>
      </c>
      <c r="G37" s="49">
        <v>37.725999999999999</v>
      </c>
      <c r="H37" s="49">
        <v>43.369</v>
      </c>
      <c r="I37" s="49">
        <v>0</v>
      </c>
      <c r="J37" s="49">
        <v>0</v>
      </c>
      <c r="K37" s="49">
        <v>1.53</v>
      </c>
      <c r="L37" s="49">
        <v>1.53</v>
      </c>
      <c r="M37" s="49">
        <v>1.6</v>
      </c>
      <c r="N37" s="49">
        <v>1.6</v>
      </c>
      <c r="O37" s="49">
        <f t="shared" ref="O37:R37" si="57">K37*1.2</f>
        <v>1.8359999999999999</v>
      </c>
      <c r="P37" s="49">
        <f t="shared" si="57"/>
        <v>1.8359999999999999</v>
      </c>
      <c r="Q37" s="49">
        <f t="shared" si="57"/>
        <v>1.92</v>
      </c>
      <c r="R37" s="49">
        <f t="shared" si="57"/>
        <v>1.92</v>
      </c>
      <c r="S37" s="49">
        <v>59.863999999999997</v>
      </c>
      <c r="T37" s="49">
        <v>12.035</v>
      </c>
      <c r="U37" s="49">
        <v>0</v>
      </c>
      <c r="V37" s="49">
        <v>60.360999999999997</v>
      </c>
      <c r="W37" s="49">
        <v>92.447000000000003</v>
      </c>
      <c r="X37" s="49"/>
      <c r="Y37" s="49">
        <v>2.0070000000000001</v>
      </c>
      <c r="Z37" s="49">
        <v>0.39700000000000002</v>
      </c>
      <c r="AA37" s="49"/>
      <c r="AB37" s="49">
        <v>1.996</v>
      </c>
      <c r="AC37" s="49">
        <v>3.0339999999999998</v>
      </c>
      <c r="AD37" s="49"/>
      <c r="AE37" s="49">
        <f t="shared" ref="AE37" si="58">Y37/D37</f>
        <v>5.1294502517443198E-2</v>
      </c>
      <c r="AF37" s="49">
        <f t="shared" ref="AF37" si="59">AB37/G37</f>
        <v>5.2907808938132857E-2</v>
      </c>
      <c r="AG37" s="49">
        <f t="shared" ref="AG37" si="60">(Z37+AA37)/(E37+F37)</f>
        <v>5.0470378845664889E-2</v>
      </c>
      <c r="AH37" s="49">
        <f t="shared" ref="AH37" si="61">(AC37+AD37)/(H37+I37)</f>
        <v>6.9957803961354884E-2</v>
      </c>
      <c r="AI37" s="49">
        <f t="shared" ref="AI37" si="62">K37+AE37</f>
        <v>1.5812945025174432</v>
      </c>
      <c r="AJ37" s="49">
        <f t="shared" ref="AJ37" si="63">M37+AF37</f>
        <v>1.652907808938133</v>
      </c>
      <c r="AK37" s="51">
        <f t="shared" ref="AK37" si="64">AI37*1.2</f>
        <v>1.8975534030209318</v>
      </c>
      <c r="AL37" s="51">
        <f t="shared" ref="AL37" si="65">AJ37*1.2</f>
        <v>1.9834893707257595</v>
      </c>
      <c r="AM37" s="51">
        <f t="shared" ref="AM37" si="66">(S37+Y37)/D37</f>
        <v>1.5812865795997646</v>
      </c>
      <c r="AN37" s="51">
        <f t="shared" ref="AN37" si="67">(V37+AB37)/G37</f>
        <v>1.6528919047871495</v>
      </c>
      <c r="AO37" s="51">
        <f t="shared" si="35"/>
        <v>1.5804729214340199</v>
      </c>
      <c r="AP37" s="51">
        <f t="shared" ref="AP37" si="68">(W37+X37+AC37+AD37)/(H37+I37)</f>
        <v>2.2015956097673457</v>
      </c>
      <c r="AQ37" s="56"/>
      <c r="AR37" s="56"/>
      <c r="AS37" s="56"/>
      <c r="AT37" s="56"/>
      <c r="AU37" s="56"/>
      <c r="AV37" s="56"/>
    </row>
    <row r="38" spans="1:48" s="35" customFormat="1" x14ac:dyDescent="0.25">
      <c r="A38" s="61" t="s">
        <v>61</v>
      </c>
      <c r="B38" s="36">
        <v>270.82799999999997</v>
      </c>
      <c r="C38" s="37">
        <v>389.61599999999999</v>
      </c>
      <c r="D38" s="37">
        <v>156.791</v>
      </c>
      <c r="E38" s="37">
        <v>39.21</v>
      </c>
      <c r="F38" s="37">
        <v>0</v>
      </c>
      <c r="G38" s="37">
        <v>166.875</v>
      </c>
      <c r="H38" s="37">
        <v>58.637</v>
      </c>
      <c r="I38" s="37">
        <v>0</v>
      </c>
      <c r="J38" s="37"/>
      <c r="K38" s="37">
        <v>1.1379999999999999</v>
      </c>
      <c r="L38" s="37">
        <v>1.2509999999999999</v>
      </c>
      <c r="M38" s="37">
        <v>1.357</v>
      </c>
      <c r="N38" s="37">
        <v>1.464</v>
      </c>
      <c r="O38" s="37">
        <v>1.365</v>
      </c>
      <c r="P38" s="37">
        <v>1.5009999999999999</v>
      </c>
      <c r="Q38" s="37">
        <v>1.6279999999999999</v>
      </c>
      <c r="R38" s="37">
        <v>1.7569999999999999</v>
      </c>
      <c r="S38" s="37">
        <v>178.29900000000001</v>
      </c>
      <c r="T38" s="37">
        <v>48.963999999999999</v>
      </c>
      <c r="U38" s="37">
        <v>0</v>
      </c>
      <c r="V38" s="37">
        <v>226.65899999999999</v>
      </c>
      <c r="W38" s="37">
        <v>85.912999999999997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f t="shared" si="4"/>
        <v>0</v>
      </c>
      <c r="AF38" s="37">
        <f t="shared" si="5"/>
        <v>0</v>
      </c>
      <c r="AG38" s="37">
        <f t="shared" si="6"/>
        <v>0</v>
      </c>
      <c r="AH38" s="37">
        <f t="shared" si="7"/>
        <v>0</v>
      </c>
      <c r="AI38" s="37">
        <f t="shared" si="8"/>
        <v>1.1379999999999999</v>
      </c>
      <c r="AJ38" s="37">
        <f t="shared" si="9"/>
        <v>1.357</v>
      </c>
      <c r="AK38" s="38">
        <f t="shared" si="10"/>
        <v>1.3655999999999999</v>
      </c>
      <c r="AL38" s="38">
        <f t="shared" si="10"/>
        <v>1.6283999999999998</v>
      </c>
      <c r="AM38" s="38">
        <f t="shared" si="36"/>
        <v>1.1371762409832198</v>
      </c>
      <c r="AN38" s="38">
        <f t="shared" si="37"/>
        <v>1.3582561797752808</v>
      </c>
      <c r="AO38" s="38">
        <f t="shared" si="35"/>
        <v>1.2487630706452435</v>
      </c>
      <c r="AP38" s="38">
        <f t="shared" si="38"/>
        <v>1.4651670446987397</v>
      </c>
      <c r="AQ38" s="39"/>
      <c r="AR38" s="39"/>
      <c r="AS38" s="39"/>
      <c r="AT38" s="39"/>
      <c r="AU38" s="39"/>
      <c r="AV38" s="39"/>
    </row>
    <row r="39" spans="1:48" x14ac:dyDescent="0.25">
      <c r="A39" s="61" t="s">
        <v>62</v>
      </c>
      <c r="B39" s="40">
        <v>536.58100000000002</v>
      </c>
      <c r="C39" s="49">
        <v>809.14499999999998</v>
      </c>
      <c r="D39" s="49">
        <v>293.209</v>
      </c>
      <c r="E39" s="49">
        <v>86.403000000000006</v>
      </c>
      <c r="F39" s="49">
        <v>0</v>
      </c>
      <c r="G39" s="49">
        <v>284.86399999999998</v>
      </c>
      <c r="H39" s="49">
        <v>143.178</v>
      </c>
      <c r="I39" s="49">
        <v>0</v>
      </c>
      <c r="J39" s="49">
        <v>0</v>
      </c>
      <c r="K39" s="49">
        <v>1.014</v>
      </c>
      <c r="L39" s="49">
        <v>1.0429999999999999</v>
      </c>
      <c r="M39" s="49">
        <v>1.6</v>
      </c>
      <c r="N39" s="49">
        <v>1.615</v>
      </c>
      <c r="O39" s="49">
        <v>1.2170000000000001</v>
      </c>
      <c r="P39" s="49">
        <v>1.2509999999999999</v>
      </c>
      <c r="Q39" s="49">
        <v>1.92</v>
      </c>
      <c r="R39" s="49">
        <v>1.9379999999999999</v>
      </c>
      <c r="S39" s="49">
        <v>297.209</v>
      </c>
      <c r="T39" s="49">
        <v>90.138000000000005</v>
      </c>
      <c r="U39" s="49">
        <v>0</v>
      </c>
      <c r="V39" s="49">
        <v>455.80900000000003</v>
      </c>
      <c r="W39" s="49">
        <v>231.28100000000001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/>
      <c r="AE39" s="49">
        <f t="shared" si="4"/>
        <v>0</v>
      </c>
      <c r="AF39" s="49">
        <f t="shared" si="5"/>
        <v>0</v>
      </c>
      <c r="AG39" s="49">
        <f t="shared" si="6"/>
        <v>0</v>
      </c>
      <c r="AH39" s="49">
        <f t="shared" si="7"/>
        <v>0</v>
      </c>
      <c r="AI39" s="49">
        <f t="shared" si="8"/>
        <v>1.014</v>
      </c>
      <c r="AJ39" s="49">
        <f t="shared" si="9"/>
        <v>1.6</v>
      </c>
      <c r="AK39" s="51">
        <f t="shared" si="10"/>
        <v>1.2167999999999999</v>
      </c>
      <c r="AL39" s="51">
        <f>AJ39*1.2</f>
        <v>1.92</v>
      </c>
      <c r="AM39" s="51">
        <f t="shared" si="36"/>
        <v>1.0136421460459946</v>
      </c>
      <c r="AN39" s="51">
        <f t="shared" si="37"/>
        <v>1.6000933778926085</v>
      </c>
      <c r="AO39" s="51">
        <f t="shared" si="35"/>
        <v>1.043227665706052</v>
      </c>
      <c r="AP39" s="51">
        <f t="shared" si="38"/>
        <v>1.6153389487211722</v>
      </c>
      <c r="AQ39" s="56"/>
      <c r="AR39" s="56"/>
      <c r="AS39" s="56"/>
      <c r="AT39" s="56"/>
      <c r="AU39" s="56"/>
      <c r="AV39" s="56"/>
    </row>
    <row r="40" spans="1:48" x14ac:dyDescent="0.25">
      <c r="A40" s="61" t="s">
        <v>63</v>
      </c>
      <c r="B40" s="40">
        <v>186.88900000000001</v>
      </c>
      <c r="C40" s="49">
        <v>163.917</v>
      </c>
      <c r="D40" s="49">
        <v>28.154</v>
      </c>
      <c r="E40" s="49">
        <v>107.773</v>
      </c>
      <c r="F40" s="49">
        <v>0</v>
      </c>
      <c r="G40" s="49">
        <v>26.829000000000001</v>
      </c>
      <c r="H40" s="49">
        <v>103.956</v>
      </c>
      <c r="I40" s="49">
        <v>0</v>
      </c>
      <c r="J40" s="49"/>
      <c r="K40" s="49">
        <v>0.879</v>
      </c>
      <c r="L40" s="49">
        <v>0.879</v>
      </c>
      <c r="M40" s="49">
        <v>1.915</v>
      </c>
      <c r="N40" s="49">
        <v>1.915</v>
      </c>
      <c r="O40" s="49">
        <v>1.0549999999999999</v>
      </c>
      <c r="P40" s="49">
        <v>1.0549999999999999</v>
      </c>
      <c r="Q40" s="49">
        <v>2.298</v>
      </c>
      <c r="R40" s="49">
        <v>2.298</v>
      </c>
      <c r="S40" s="49">
        <v>24.756</v>
      </c>
      <c r="T40" s="49">
        <v>94.765000000000001</v>
      </c>
      <c r="U40" s="49">
        <v>0</v>
      </c>
      <c r="V40" s="49">
        <v>51.375</v>
      </c>
      <c r="W40" s="49">
        <v>199.065</v>
      </c>
      <c r="X40" s="49">
        <v>0</v>
      </c>
      <c r="Y40" s="49"/>
      <c r="Z40" s="49"/>
      <c r="AA40" s="49"/>
      <c r="AB40" s="49"/>
      <c r="AC40" s="49"/>
      <c r="AD40" s="49"/>
      <c r="AE40" s="49">
        <f t="shared" ref="AE40" si="69">Y40/D40</f>
        <v>0</v>
      </c>
      <c r="AF40" s="49">
        <f t="shared" ref="AF40" si="70">AB40/G40</f>
        <v>0</v>
      </c>
      <c r="AG40" s="49">
        <f t="shared" ref="AG40" si="71">(Z40+AA40)/(E40+F40)</f>
        <v>0</v>
      </c>
      <c r="AH40" s="49">
        <f t="shared" ref="AH40" si="72">(AC40+AD40)/(H40+I40)</f>
        <v>0</v>
      </c>
      <c r="AI40" s="49">
        <f t="shared" ref="AI40" si="73">K40+AE40</f>
        <v>0.879</v>
      </c>
      <c r="AJ40" s="49">
        <f t="shared" ref="AJ40" si="74">M40+AF40</f>
        <v>1.915</v>
      </c>
      <c r="AK40" s="51">
        <f t="shared" ref="AK40" si="75">AI40*1.2</f>
        <v>1.0548</v>
      </c>
      <c r="AL40" s="51">
        <f t="shared" ref="AL40" si="76">AJ40*1.2</f>
        <v>2.298</v>
      </c>
      <c r="AM40" s="51">
        <f t="shared" ref="AM40" si="77">(S40+Y40)/D40</f>
        <v>0.87930667045535271</v>
      </c>
      <c r="AN40" s="51">
        <f t="shared" ref="AN40" si="78">(V40+AB40)/G40</f>
        <v>1.9149055126914905</v>
      </c>
      <c r="AO40" s="51">
        <f t="shared" ref="AO40" si="79">(T40+U40+Z40+AA40)/(E40+F40)</f>
        <v>0.8793018659590065</v>
      </c>
      <c r="AP40" s="51">
        <f t="shared" ref="AP40" si="80">(W40+X40+AC40+AD40)/(H40+I40)</f>
        <v>1.9148966870599098</v>
      </c>
      <c r="AQ40" s="56"/>
      <c r="AR40" s="56"/>
      <c r="AS40" s="56"/>
      <c r="AT40" s="56"/>
      <c r="AU40" s="56"/>
      <c r="AV40" s="56"/>
    </row>
    <row r="41" spans="1:48" s="15" customFormat="1" x14ac:dyDescent="0.25">
      <c r="A41" s="61" t="s">
        <v>64</v>
      </c>
      <c r="B41" s="40">
        <v>1568.316</v>
      </c>
      <c r="C41" s="49">
        <v>2363.634</v>
      </c>
      <c r="D41" s="49">
        <f>366.626+397.408</f>
        <v>764.03399999999999</v>
      </c>
      <c r="E41" s="49">
        <f>90.365+85.789</f>
        <v>176.154</v>
      </c>
      <c r="F41" s="49">
        <v>0</v>
      </c>
      <c r="G41" s="49">
        <f>357.8+373.766</f>
        <v>731.56600000000003</v>
      </c>
      <c r="H41" s="49">
        <f>103.713+98.819</f>
        <v>202.53199999999998</v>
      </c>
      <c r="I41" s="49">
        <v>0</v>
      </c>
      <c r="J41" s="49"/>
      <c r="K41" s="49">
        <v>1.25</v>
      </c>
      <c r="L41" s="49">
        <v>1.47</v>
      </c>
      <c r="M41" s="49">
        <v>1.95</v>
      </c>
      <c r="N41" s="49">
        <v>2.2000000000000002</v>
      </c>
      <c r="O41" s="49">
        <v>1.5</v>
      </c>
      <c r="P41" s="49">
        <v>1.76</v>
      </c>
      <c r="Q41" s="49">
        <v>2.34</v>
      </c>
      <c r="R41" s="49">
        <v>2.64</v>
      </c>
      <c r="S41" s="49">
        <f>462.396+501.648</f>
        <v>964.0440000000001</v>
      </c>
      <c r="T41" s="49">
        <f>132.401+125.67</f>
        <v>258.07100000000003</v>
      </c>
      <c r="U41" s="49">
        <v>0</v>
      </c>
      <c r="V41" s="49">
        <f>695.896+727.194</f>
        <v>1423.09</v>
      </c>
      <c r="W41" s="49">
        <f>224.849+213.805</f>
        <v>438.654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f t="shared" si="4"/>
        <v>0</v>
      </c>
      <c r="AF41" s="49">
        <f t="shared" si="5"/>
        <v>0</v>
      </c>
      <c r="AG41" s="49">
        <f t="shared" si="6"/>
        <v>0</v>
      </c>
      <c r="AH41" s="49">
        <f t="shared" si="7"/>
        <v>0</v>
      </c>
      <c r="AI41" s="49">
        <f t="shared" si="8"/>
        <v>1.25</v>
      </c>
      <c r="AJ41" s="49">
        <f t="shared" si="9"/>
        <v>1.95</v>
      </c>
      <c r="AK41" s="51">
        <f t="shared" si="10"/>
        <v>1.5</v>
      </c>
      <c r="AL41" s="51">
        <f t="shared" si="10"/>
        <v>2.34</v>
      </c>
      <c r="AM41" s="51">
        <f t="shared" si="36"/>
        <v>1.2617815437532887</v>
      </c>
      <c r="AN41" s="51">
        <f t="shared" si="37"/>
        <v>1.9452653622502958</v>
      </c>
      <c r="AO41" s="51">
        <f t="shared" si="35"/>
        <v>1.4650305982265519</v>
      </c>
      <c r="AP41" s="51">
        <f t="shared" si="38"/>
        <v>2.1658503347619145</v>
      </c>
      <c r="AQ41" s="57"/>
      <c r="AR41" s="57"/>
      <c r="AS41" s="57"/>
      <c r="AT41" s="57"/>
      <c r="AU41" s="57"/>
      <c r="AV41" s="57"/>
    </row>
    <row r="42" spans="1:48" s="35" customFormat="1" x14ac:dyDescent="0.25">
      <c r="A42" s="61" t="s">
        <v>65</v>
      </c>
      <c r="B42" s="36">
        <v>798.09900000000005</v>
      </c>
      <c r="C42" s="37">
        <v>1516.357</v>
      </c>
      <c r="D42" s="37">
        <v>516.60799999999995</v>
      </c>
      <c r="E42" s="37">
        <v>201.268</v>
      </c>
      <c r="F42" s="37">
        <v>0.20300000000000001</v>
      </c>
      <c r="G42" s="37">
        <v>519.84</v>
      </c>
      <c r="H42" s="37">
        <v>380.98899999999998</v>
      </c>
      <c r="I42" s="37">
        <v>0.67900000000000005</v>
      </c>
      <c r="J42" s="37"/>
      <c r="K42" s="37">
        <v>0.77</v>
      </c>
      <c r="L42" s="37">
        <v>0.77</v>
      </c>
      <c r="M42" s="37">
        <v>1.08</v>
      </c>
      <c r="N42" s="37">
        <v>1.08</v>
      </c>
      <c r="O42" s="37">
        <v>0.92400000000000004</v>
      </c>
      <c r="P42" s="37">
        <v>0.92400000000000004</v>
      </c>
      <c r="Q42" s="37">
        <v>1.296</v>
      </c>
      <c r="R42" s="37">
        <v>1.296</v>
      </c>
      <c r="S42" s="37">
        <v>397.78800000000001</v>
      </c>
      <c r="T42" s="37">
        <v>154.977</v>
      </c>
      <c r="U42" s="37">
        <v>0.156</v>
      </c>
      <c r="V42" s="37">
        <v>561.42700000000002</v>
      </c>
      <c r="W42" s="37">
        <v>466.28500000000003</v>
      </c>
      <c r="X42" s="37">
        <v>0.73299999999999998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f t="shared" si="4"/>
        <v>0</v>
      </c>
      <c r="AF42" s="37">
        <f t="shared" si="5"/>
        <v>0</v>
      </c>
      <c r="AG42" s="37">
        <f t="shared" si="6"/>
        <v>0</v>
      </c>
      <c r="AH42" s="37">
        <f t="shared" si="7"/>
        <v>0</v>
      </c>
      <c r="AI42" s="37">
        <f t="shared" si="8"/>
        <v>0.77</v>
      </c>
      <c r="AJ42" s="37">
        <f t="shared" si="9"/>
        <v>1.08</v>
      </c>
      <c r="AK42" s="38">
        <f t="shared" si="10"/>
        <v>0.92399999999999993</v>
      </c>
      <c r="AL42" s="38">
        <f t="shared" si="10"/>
        <v>1.296</v>
      </c>
      <c r="AM42" s="38">
        <f t="shared" si="36"/>
        <v>0.76999969028741333</v>
      </c>
      <c r="AN42" s="38">
        <f t="shared" si="37"/>
        <v>1.0799996152662357</v>
      </c>
      <c r="AO42" s="38">
        <f t="shared" si="35"/>
        <v>0.77000163795285681</v>
      </c>
      <c r="AP42" s="38">
        <f t="shared" si="38"/>
        <v>1.2236236729304004</v>
      </c>
      <c r="AQ42" s="39"/>
      <c r="AR42" s="39"/>
      <c r="AS42" s="39"/>
      <c r="AT42" s="39"/>
      <c r="AU42" s="39"/>
      <c r="AV42" s="39"/>
    </row>
    <row r="43" spans="1:48" x14ac:dyDescent="0.25">
      <c r="A43" s="61" t="s">
        <v>66</v>
      </c>
      <c r="B43" s="40">
        <v>58.375999999999998</v>
      </c>
      <c r="C43" s="49">
        <v>1516.357</v>
      </c>
      <c r="D43" s="49">
        <v>37.26</v>
      </c>
      <c r="E43" s="49">
        <v>9.1199999999999992</v>
      </c>
      <c r="F43" s="49"/>
      <c r="G43" s="49">
        <v>37.923000000000002</v>
      </c>
      <c r="H43" s="49">
        <v>7.45</v>
      </c>
      <c r="I43" s="49">
        <v>0</v>
      </c>
      <c r="J43" s="49"/>
      <c r="K43" s="49">
        <v>1</v>
      </c>
      <c r="L43" s="49">
        <v>1</v>
      </c>
      <c r="M43" s="49">
        <v>1.5</v>
      </c>
      <c r="N43" s="49">
        <v>1.5</v>
      </c>
      <c r="O43" s="49">
        <v>1.2</v>
      </c>
      <c r="P43" s="49">
        <v>1.2</v>
      </c>
      <c r="Q43" s="49">
        <v>1.8</v>
      </c>
      <c r="R43" s="49">
        <v>1.8</v>
      </c>
      <c r="S43" s="49">
        <v>35.517000000000003</v>
      </c>
      <c r="T43" s="49">
        <v>8.516</v>
      </c>
      <c r="U43" s="49">
        <v>0</v>
      </c>
      <c r="V43" s="49">
        <v>50.991999999999997</v>
      </c>
      <c r="W43" s="49">
        <v>9.5259999999999998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f t="shared" ref="AE43" si="81">Y43/D43</f>
        <v>0</v>
      </c>
      <c r="AF43" s="49">
        <f t="shared" ref="AF43" si="82">AB43/G43</f>
        <v>0</v>
      </c>
      <c r="AG43" s="49">
        <f t="shared" ref="AG43" si="83">(Z43+AA43)/(E43+F43)</f>
        <v>0</v>
      </c>
      <c r="AH43" s="49">
        <f t="shared" ref="AH43" si="84">(AC43+AD43)/(H43+I43)</f>
        <v>0</v>
      </c>
      <c r="AI43" s="49">
        <f t="shared" ref="AI43" si="85">K43+AE43</f>
        <v>1</v>
      </c>
      <c r="AJ43" s="49">
        <f t="shared" ref="AJ43" si="86">M43+AF43</f>
        <v>1.5</v>
      </c>
      <c r="AK43" s="51">
        <f t="shared" ref="AK43" si="87">AI43*1.2</f>
        <v>1.2</v>
      </c>
      <c r="AL43" s="51">
        <f t="shared" ref="AL43" si="88">AJ43*1.2</f>
        <v>1.7999999999999998</v>
      </c>
      <c r="AM43" s="51">
        <f t="shared" ref="AM43" si="89">(S43+Y43)/D43</f>
        <v>0.95322061191626417</v>
      </c>
      <c r="AN43" s="51">
        <f t="shared" ref="AN43" si="90">(V43+AB43)/G43</f>
        <v>1.3446193602826779</v>
      </c>
      <c r="AO43" s="51">
        <f t="shared" ref="AO43" si="91">(T43+U43+Z43+AA43)/(E43+F43)</f>
        <v>0.93377192982456148</v>
      </c>
      <c r="AP43" s="51">
        <f t="shared" ref="AP43" si="92">(W43+X43+AC43+AD43)/(H43+I43)</f>
        <v>1.2786577181208054</v>
      </c>
      <c r="AQ43" s="56"/>
      <c r="AR43" s="56"/>
      <c r="AS43" s="56"/>
      <c r="AT43" s="56"/>
      <c r="AU43" s="56"/>
      <c r="AV43" s="56"/>
    </row>
    <row r="44" spans="1:48" x14ac:dyDescent="0.25">
      <c r="A44" s="61" t="s">
        <v>67</v>
      </c>
      <c r="B44" s="32">
        <v>748.47900000000004</v>
      </c>
      <c r="C44" s="2">
        <v>1098.5</v>
      </c>
      <c r="D44" s="2">
        <v>405.45299999999997</v>
      </c>
      <c r="E44" s="2">
        <v>169.19800000000001</v>
      </c>
      <c r="F44" s="2">
        <v>0</v>
      </c>
      <c r="G44" s="2">
        <v>389.14400000000001</v>
      </c>
      <c r="H44" s="2">
        <v>198.41900000000001</v>
      </c>
      <c r="I44" s="2">
        <v>0</v>
      </c>
      <c r="J44" s="2">
        <v>0.82799999999999996</v>
      </c>
      <c r="K44" s="2">
        <v>0.98</v>
      </c>
      <c r="L44" s="2">
        <v>0.98</v>
      </c>
      <c r="M44" s="2">
        <v>1.54</v>
      </c>
      <c r="N44" s="2">
        <v>1.54</v>
      </c>
      <c r="O44" s="2">
        <v>1.1759999999999999</v>
      </c>
      <c r="P44" s="2">
        <v>1.1759999999999999</v>
      </c>
      <c r="Q44" s="2">
        <v>1.8480000000000001</v>
      </c>
      <c r="R44" s="2">
        <v>1.8480000000000001</v>
      </c>
      <c r="S44" s="2">
        <v>410.88900000000001</v>
      </c>
      <c r="T44" s="2">
        <v>171.512</v>
      </c>
      <c r="U44" s="2">
        <v>0</v>
      </c>
      <c r="V44" s="2">
        <v>592.87199999999996</v>
      </c>
      <c r="W44" s="2">
        <v>303.71499999999997</v>
      </c>
      <c r="X44" s="2">
        <v>0</v>
      </c>
      <c r="Y44" s="2"/>
      <c r="Z44" s="2"/>
      <c r="AA44" s="2">
        <v>0</v>
      </c>
      <c r="AB44" s="2"/>
      <c r="AC44" s="2"/>
      <c r="AD44" s="2">
        <v>0</v>
      </c>
      <c r="AE44" s="49">
        <f t="shared" ref="AE44" si="93">Y44/D44</f>
        <v>0</v>
      </c>
      <c r="AF44" s="49">
        <f t="shared" ref="AF44" si="94">AB44/G44</f>
        <v>0</v>
      </c>
      <c r="AG44" s="49">
        <f t="shared" ref="AG44" si="95">(Z44+AA44)/(E44+F44)</f>
        <v>0</v>
      </c>
      <c r="AH44" s="49">
        <f t="shared" ref="AH44" si="96">(AC44+AD44)/(H44+I44)</f>
        <v>0</v>
      </c>
      <c r="AI44" s="49">
        <f t="shared" ref="AI44" si="97">K44+AE44</f>
        <v>0.98</v>
      </c>
      <c r="AJ44" s="49">
        <f t="shared" ref="AJ44" si="98">M44+AF44</f>
        <v>1.54</v>
      </c>
      <c r="AK44" s="51">
        <f t="shared" ref="AK44" si="99">AI44*1.2</f>
        <v>1.1759999999999999</v>
      </c>
      <c r="AL44" s="51">
        <f t="shared" ref="AL44" si="100">AJ44*1.2</f>
        <v>1.8479999999999999</v>
      </c>
      <c r="AM44" s="51">
        <f t="shared" ref="AM44" si="101">(S44+Y44)/D44</f>
        <v>1.0134072259916687</v>
      </c>
      <c r="AN44" s="51">
        <f t="shared" ref="AN44" si="102">(V44+AB44)/G44</f>
        <v>1.5235285652611885</v>
      </c>
      <c r="AO44" s="51">
        <f t="shared" ref="AO44" si="103">(T44+U44+Z44+AA44)/(E44+F44)</f>
        <v>1.0136762845896523</v>
      </c>
      <c r="AP44" s="51">
        <f t="shared" ref="AP44" si="104">(W44+X44+AC44+AD44)/(H44+I44)</f>
        <v>1.530674985762452</v>
      </c>
      <c r="AQ44" s="56"/>
      <c r="AR44" s="56"/>
      <c r="AS44" s="56"/>
      <c r="AT44" s="56"/>
      <c r="AU44" s="56"/>
      <c r="AV44" s="56"/>
    </row>
    <row r="45" spans="1:48" x14ac:dyDescent="0.25">
      <c r="B45" s="33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48" x14ac:dyDescent="0.25">
      <c r="A46" s="4" t="s">
        <v>68</v>
      </c>
      <c r="C46" s="29"/>
    </row>
    <row r="47" spans="1:48" x14ac:dyDescent="0.25">
      <c r="A47" s="4" t="s">
        <v>69</v>
      </c>
      <c r="B47"/>
      <c r="C47" s="29"/>
    </row>
  </sheetData>
  <mergeCells count="9">
    <mergeCell ref="AU2:AV2"/>
    <mergeCell ref="AQ1:AR1"/>
    <mergeCell ref="AS1:AT1"/>
    <mergeCell ref="AU1:AV1"/>
    <mergeCell ref="D2:F2"/>
    <mergeCell ref="G2:I2"/>
    <mergeCell ref="AB2:AD2"/>
    <mergeCell ref="AQ2:AR2"/>
    <mergeCell ref="AS2:AT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47"/>
  <sheetViews>
    <sheetView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Q45" sqref="AQ45"/>
    </sheetView>
  </sheetViews>
  <sheetFormatPr defaultRowHeight="15" x14ac:dyDescent="0.25"/>
  <cols>
    <col min="1" max="1" width="25.42578125" style="4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4" customWidth="1"/>
    <col min="42" max="42" width="22" customWidth="1"/>
    <col min="43" max="43" width="23.85546875" customWidth="1"/>
  </cols>
  <sheetData>
    <row r="1" spans="1:43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/>
      <c r="AL1" s="12"/>
      <c r="AM1" s="12"/>
      <c r="AN1" s="13"/>
    </row>
    <row r="2" spans="1:43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"/>
      <c r="AP2" s="41" t="s">
        <v>77</v>
      </c>
      <c r="AQ2" s="41" t="s">
        <v>78</v>
      </c>
    </row>
    <row r="3" spans="1:43" ht="21" x14ac:dyDescent="0.35">
      <c r="A3" s="3">
        <v>41455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7" t="s">
        <v>25</v>
      </c>
      <c r="AH3" s="17" t="s">
        <v>26</v>
      </c>
      <c r="AI3" s="17" t="s">
        <v>25</v>
      </c>
      <c r="AJ3" s="17" t="s">
        <v>26</v>
      </c>
      <c r="AK3" s="14" t="s">
        <v>25</v>
      </c>
      <c r="AL3" s="14" t="s">
        <v>26</v>
      </c>
      <c r="AM3" s="14" t="s">
        <v>25</v>
      </c>
      <c r="AN3" s="14" t="s">
        <v>26</v>
      </c>
      <c r="AO3" s="3">
        <f>'31.12.2018'!A3</f>
        <v>43465</v>
      </c>
      <c r="AP3" s="47"/>
      <c r="AQ3" s="47"/>
    </row>
    <row r="4" spans="1:43" x14ac:dyDescent="0.25">
      <c r="A4" s="40" t="s">
        <v>79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 t="shared" ref="AC4:AC19" si="0">W4/B4</f>
        <v>5.2032260001200746E-4</v>
      </c>
      <c r="AD4" s="53">
        <f t="shared" ref="AD4:AD19" si="1"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 t="shared" ref="AG4:AG42" si="2">I4+AC4</f>
        <v>1.3305203226000122</v>
      </c>
      <c r="AH4" s="53">
        <f t="shared" ref="AH4:AH42" si="3">K4+AD4</f>
        <v>2.1805188367981221</v>
      </c>
      <c r="AI4" s="55">
        <f>AG4*1.2</f>
        <v>1.5966243871200145</v>
      </c>
      <c r="AJ4" s="55">
        <f>AH4*1.2</f>
        <v>2.6166226041577465</v>
      </c>
      <c r="AK4" s="55">
        <f t="shared" ref="AK4:AK19" si="4">(Q4+W4)/B4</f>
        <v>1.3378944945866438</v>
      </c>
      <c r="AL4" s="55">
        <f t="shared" ref="AL4:AL19" si="5">(T4+Z4)/E4</f>
        <v>2.1815022088343299</v>
      </c>
      <c r="AM4" s="55">
        <f>(R4+X4)/C4</f>
        <v>2.0532136351808479</v>
      </c>
      <c r="AN4" s="55">
        <f>(U4+V4+AA4+AB4)/(F4+G4)</f>
        <v>3.0793226931744515</v>
      </c>
      <c r="AO4" s="61" t="s">
        <v>27</v>
      </c>
      <c r="AP4" s="55">
        <f>'31.12.2018'!O4+'31.12.2018'!Q4</f>
        <v>3.4809999999999999</v>
      </c>
      <c r="AQ4" s="55">
        <f>'31.12.2018'!P4+'31.12.2018'!R4</f>
        <v>3.6819999999999999</v>
      </c>
    </row>
    <row r="5" spans="1:43" x14ac:dyDescent="0.25">
      <c r="A5" s="40" t="s">
        <v>80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si="0"/>
        <v>0</v>
      </c>
      <c r="AD5" s="53">
        <f t="shared" si="1"/>
        <v>0</v>
      </c>
      <c r="AE5" s="53">
        <f>(X5+Y5)/(C5+D5)</f>
        <v>0</v>
      </c>
      <c r="AF5" s="53">
        <f>(AA5+AB5)/(F5+G5)</f>
        <v>0</v>
      </c>
      <c r="AG5" s="53">
        <f t="shared" si="2"/>
        <v>0.9</v>
      </c>
      <c r="AH5" s="53">
        <f t="shared" si="3"/>
        <v>1.0900000000000001</v>
      </c>
      <c r="AI5" s="55">
        <f t="shared" ref="AI5:AJ42" si="6">AG5*1.2</f>
        <v>1.08</v>
      </c>
      <c r="AJ5" s="55">
        <f t="shared" si="6"/>
        <v>1.3080000000000001</v>
      </c>
      <c r="AK5" s="55">
        <f t="shared" si="4"/>
        <v>0.83448706250065552</v>
      </c>
      <c r="AL5" s="55">
        <f t="shared" si="5"/>
        <v>1.0513394445204542</v>
      </c>
      <c r="AM5" s="55">
        <f>(R5+X5)/C5</f>
        <v>0.77812921961415382</v>
      </c>
      <c r="AN5" s="55">
        <f>(U5+V5+AA5+AB5)/(F5+G5)</f>
        <v>1.2934140769794407</v>
      </c>
      <c r="AO5" s="61" t="s">
        <v>28</v>
      </c>
      <c r="AP5" s="55">
        <f>'31.12.2018'!O5+'31.12.2018'!Q5</f>
        <v>3.2680968957300842</v>
      </c>
      <c r="AQ5" s="55">
        <f>'31.12.2018'!P5+'31.12.2018'!R5</f>
        <v>3.470920843902392</v>
      </c>
    </row>
    <row r="6" spans="1:43" s="15" customFormat="1" x14ac:dyDescent="0.25">
      <c r="A6" s="67" t="s">
        <v>81</v>
      </c>
      <c r="B6" s="65">
        <v>44.539000000000001</v>
      </c>
      <c r="C6" s="65">
        <v>0</v>
      </c>
      <c r="D6" s="65">
        <v>0</v>
      </c>
      <c r="E6" s="65">
        <v>43.347999999999999</v>
      </c>
      <c r="F6" s="65">
        <v>0</v>
      </c>
      <c r="G6" s="65">
        <v>0</v>
      </c>
      <c r="H6" s="65"/>
      <c r="I6" s="65">
        <v>0.73</v>
      </c>
      <c r="J6" s="65"/>
      <c r="K6" s="65">
        <v>0.59</v>
      </c>
      <c r="L6" s="65"/>
      <c r="M6" s="65">
        <v>0.88</v>
      </c>
      <c r="N6" s="65"/>
      <c r="O6" s="65">
        <v>0.71</v>
      </c>
      <c r="P6" s="65"/>
      <c r="Q6" s="65">
        <v>32.47</v>
      </c>
      <c r="R6" s="65"/>
      <c r="S6" s="65"/>
      <c r="T6" s="65">
        <v>25.533000000000001</v>
      </c>
      <c r="U6" s="65"/>
      <c r="V6" s="65"/>
      <c r="W6" s="65">
        <v>7.8680000000000003</v>
      </c>
      <c r="X6" s="65"/>
      <c r="Y6" s="65"/>
      <c r="Z6" s="65">
        <v>5.8470000000000004</v>
      </c>
      <c r="AA6" s="65"/>
      <c r="AB6" s="65"/>
      <c r="AC6" s="65">
        <f t="shared" si="0"/>
        <v>0.17665416825703317</v>
      </c>
      <c r="AD6" s="65">
        <f t="shared" si="1"/>
        <v>0.13488511580695767</v>
      </c>
      <c r="AE6" s="65"/>
      <c r="AF6" s="65"/>
      <c r="AG6" s="53">
        <f t="shared" si="2"/>
        <v>0.90665416825703316</v>
      </c>
      <c r="AH6" s="53">
        <f t="shared" si="3"/>
        <v>0.72488511580695758</v>
      </c>
      <c r="AI6" s="55">
        <f t="shared" si="6"/>
        <v>1.0879850019084398</v>
      </c>
      <c r="AJ6" s="55">
        <f t="shared" si="6"/>
        <v>0.86986213896834907</v>
      </c>
      <c r="AK6" s="66">
        <f t="shared" si="4"/>
        <v>0.90567816969397608</v>
      </c>
      <c r="AL6" s="66">
        <f t="shared" si="5"/>
        <v>0.72390883085724844</v>
      </c>
      <c r="AM6" s="66"/>
      <c r="AN6" s="66"/>
      <c r="AO6" s="61" t="s">
        <v>29</v>
      </c>
      <c r="AP6" s="55">
        <f>'31.12.2018'!O6+'31.12.2018'!Q6</f>
        <v>1.494</v>
      </c>
      <c r="AQ6" s="55">
        <f>'31.12.2018'!P6+'31.12.2018'!R6</f>
        <v>0</v>
      </c>
    </row>
    <row r="7" spans="1:43" x14ac:dyDescent="0.25">
      <c r="A7" s="40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7">I7*1.2</f>
        <v>0.95910406086235145</v>
      </c>
      <c r="N7" s="55">
        <f t="shared" si="7"/>
        <v>0.96185727023546108</v>
      </c>
      <c r="O7" s="55">
        <f t="shared" si="7"/>
        <v>1.3192409751053764</v>
      </c>
      <c r="P7" s="55">
        <f t="shared" si="7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0"/>
        <v>0</v>
      </c>
      <c r="AD7" s="53">
        <f t="shared" si="1"/>
        <v>0</v>
      </c>
      <c r="AE7" s="53">
        <f t="shared" ref="AE7:AE19" si="8">(X7+Y7)/(C7+D7)</f>
        <v>0</v>
      </c>
      <c r="AF7" s="53">
        <f t="shared" ref="AF7:AF19" si="9">(AA7+AB7)/(F7+G7)</f>
        <v>0</v>
      </c>
      <c r="AG7" s="53">
        <f t="shared" si="2"/>
        <v>0.79925338405195956</v>
      </c>
      <c r="AH7" s="53">
        <f t="shared" si="3"/>
        <v>1.0993674792544803</v>
      </c>
      <c r="AI7" s="55">
        <f t="shared" si="6"/>
        <v>0.95910406086235145</v>
      </c>
      <c r="AJ7" s="55">
        <f t="shared" si="6"/>
        <v>1.3192409751053764</v>
      </c>
      <c r="AK7" s="55">
        <f t="shared" si="4"/>
        <v>0.79925338405195956</v>
      </c>
      <c r="AL7" s="55">
        <f t="shared" si="5"/>
        <v>1.0993674792544803</v>
      </c>
      <c r="AM7" s="55">
        <f t="shared" ref="AM7:AM19" si="10">(R7+X7)/C7</f>
        <v>0.80154772519621764</v>
      </c>
      <c r="AN7" s="55">
        <f t="shared" ref="AN7:AN19" si="11">(U7+V7+AA7+AB7)/(F7+G7)</f>
        <v>1.6965011825839753</v>
      </c>
      <c r="AO7" s="61" t="s">
        <v>30</v>
      </c>
      <c r="AP7" s="55">
        <f>'31.12.2018'!O7+'31.12.2018'!Q7</f>
        <v>2.8115811080969344</v>
      </c>
      <c r="AQ7" s="55">
        <f>'31.12.2018'!P7+'31.12.2018'!R7</f>
        <v>3.1260004330534787</v>
      </c>
    </row>
    <row r="8" spans="1:43" x14ac:dyDescent="0.25">
      <c r="A8" s="40" t="s">
        <v>30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7"/>
        <v>0.95910406086235145</v>
      </c>
      <c r="N8" s="55">
        <f t="shared" si="7"/>
        <v>0.96185727023546108</v>
      </c>
      <c r="O8" s="55">
        <f t="shared" si="7"/>
        <v>1.3192409751053764</v>
      </c>
      <c r="P8" s="55">
        <f t="shared" si="7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2">W8/B8</f>
        <v>0</v>
      </c>
      <c r="AD8" s="53">
        <f t="shared" ref="AD8" si="13">Z8/E8</f>
        <v>0</v>
      </c>
      <c r="AE8" s="53">
        <f t="shared" ref="AE8" si="14">(X8+Y8)/(C8+D8)</f>
        <v>0</v>
      </c>
      <c r="AF8" s="53">
        <f t="shared" ref="AF8" si="15">(AA8+AB8)/(F8+G8)</f>
        <v>0</v>
      </c>
      <c r="AG8" s="53">
        <f t="shared" ref="AG8" si="16">I8+AC8</f>
        <v>0.79925338405195956</v>
      </c>
      <c r="AH8" s="53">
        <f t="shared" ref="AH8" si="17">K8+AD8</f>
        <v>1.0993674792544803</v>
      </c>
      <c r="AI8" s="55">
        <f t="shared" ref="AI8" si="18">AG8*1.2</f>
        <v>0.95910406086235145</v>
      </c>
      <c r="AJ8" s="55">
        <f t="shared" ref="AJ8" si="19">AH8*1.2</f>
        <v>1.3192409751053764</v>
      </c>
      <c r="AK8" s="55">
        <f t="shared" ref="AK8" si="20">(Q8+W8)/B8</f>
        <v>0.79925338405195956</v>
      </c>
      <c r="AL8" s="55">
        <f t="shared" ref="AL8" si="21">(T8+Z8)/E8</f>
        <v>1.0993674792544803</v>
      </c>
      <c r="AM8" s="55">
        <f t="shared" ref="AM8" si="22">(R8+X8)/C8</f>
        <v>0.80154772519621764</v>
      </c>
      <c r="AN8" s="55">
        <f t="shared" ref="AN8" si="23">(U8+V8+AA8+AB8)/(F8+G8)</f>
        <v>1.6965011825839753</v>
      </c>
      <c r="AO8" s="61" t="s">
        <v>31</v>
      </c>
      <c r="AP8" s="55">
        <f>'31.12.2018'!O8+'31.12.2018'!Q8</f>
        <v>3.024</v>
      </c>
      <c r="AQ8" s="55">
        <f>'31.12.2018'!P8+'31.12.2018'!R8</f>
        <v>3.024</v>
      </c>
    </row>
    <row r="9" spans="1:43" x14ac:dyDescent="0.25">
      <c r="A9" s="40" t="s">
        <v>82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0"/>
        <v>0</v>
      </c>
      <c r="AD9" s="53">
        <f t="shared" si="1"/>
        <v>0</v>
      </c>
      <c r="AE9" s="53">
        <f t="shared" si="8"/>
        <v>0</v>
      </c>
      <c r="AF9" s="53">
        <f t="shared" si="9"/>
        <v>0</v>
      </c>
      <c r="AG9" s="53">
        <f t="shared" si="2"/>
        <v>0.88</v>
      </c>
      <c r="AH9" s="53">
        <f t="shared" si="3"/>
        <v>1.3</v>
      </c>
      <c r="AI9" s="55">
        <f t="shared" si="6"/>
        <v>1.056</v>
      </c>
      <c r="AJ9" s="55">
        <f t="shared" si="6"/>
        <v>1.56</v>
      </c>
      <c r="AK9" s="55">
        <f t="shared" si="4"/>
        <v>0.88003251834997398</v>
      </c>
      <c r="AL9" s="55">
        <f t="shared" si="5"/>
        <v>1.2995790594155217</v>
      </c>
      <c r="AM9" s="55">
        <f t="shared" si="10"/>
        <v>1.0519376194565246</v>
      </c>
      <c r="AN9" s="55">
        <f t="shared" si="11"/>
        <v>1.5630771489392941</v>
      </c>
      <c r="AO9" s="61" t="s">
        <v>32</v>
      </c>
      <c r="AP9" s="55">
        <f>'31.12.2018'!O9+'31.12.2018'!Q9</f>
        <v>3.9</v>
      </c>
      <c r="AQ9" s="55">
        <f>'31.12.2018'!P9+'31.12.2018'!R9</f>
        <v>4.0919999999999996</v>
      </c>
    </row>
    <row r="10" spans="1:43" s="15" customFormat="1" x14ac:dyDescent="0.25">
      <c r="A10" s="67" t="s">
        <v>33</v>
      </c>
      <c r="B10" s="65">
        <v>12.874000000000001</v>
      </c>
      <c r="C10" s="65">
        <v>3.2320000000000002</v>
      </c>
      <c r="D10" s="65">
        <v>0</v>
      </c>
      <c r="E10" s="65">
        <v>12.874000000000001</v>
      </c>
      <c r="F10" s="65">
        <v>3.2320000000000002</v>
      </c>
      <c r="G10" s="65">
        <v>0</v>
      </c>
      <c r="H10" s="65">
        <v>44.454999999999998</v>
      </c>
      <c r="I10" s="65">
        <v>0.95</v>
      </c>
      <c r="J10" s="65">
        <v>0.95</v>
      </c>
      <c r="K10" s="65">
        <v>1.1299999999999999</v>
      </c>
      <c r="L10" s="65">
        <v>1.1299999999999999</v>
      </c>
      <c r="M10" s="65">
        <v>1.1399999999999999</v>
      </c>
      <c r="N10" s="65">
        <v>1.1399999999999999</v>
      </c>
      <c r="O10" s="65">
        <v>1.36</v>
      </c>
      <c r="P10" s="65">
        <v>1.36</v>
      </c>
      <c r="Q10" s="65">
        <v>9.3949999999999996</v>
      </c>
      <c r="R10" s="65">
        <v>2.911</v>
      </c>
      <c r="S10" s="65">
        <v>0</v>
      </c>
      <c r="T10" s="65">
        <v>15.593999999999999</v>
      </c>
      <c r="U10" s="65">
        <v>3.556</v>
      </c>
      <c r="V10" s="65">
        <v>9.2550000000000008</v>
      </c>
      <c r="W10" s="65"/>
      <c r="X10" s="65"/>
      <c r="Y10" s="65"/>
      <c r="Z10" s="65"/>
      <c r="AA10" s="65"/>
      <c r="AB10" s="65"/>
      <c r="AC10" s="65">
        <f t="shared" si="0"/>
        <v>0</v>
      </c>
      <c r="AD10" s="65">
        <f t="shared" si="1"/>
        <v>0</v>
      </c>
      <c r="AE10" s="65">
        <f t="shared" si="8"/>
        <v>0</v>
      </c>
      <c r="AF10" s="65">
        <f t="shared" si="9"/>
        <v>0</v>
      </c>
      <c r="AG10" s="53">
        <f t="shared" si="2"/>
        <v>0.95</v>
      </c>
      <c r="AH10" s="53">
        <f t="shared" si="3"/>
        <v>1.1299999999999999</v>
      </c>
      <c r="AI10" s="55">
        <f t="shared" si="6"/>
        <v>1.1399999999999999</v>
      </c>
      <c r="AJ10" s="55">
        <f t="shared" si="6"/>
        <v>1.3559999999999999</v>
      </c>
      <c r="AK10" s="66">
        <f t="shared" si="4"/>
        <v>0.72976541867329492</v>
      </c>
      <c r="AL10" s="66">
        <f t="shared" si="5"/>
        <v>1.2112785459064781</v>
      </c>
      <c r="AM10" s="66">
        <f t="shared" si="10"/>
        <v>0.90068069306930687</v>
      </c>
      <c r="AN10" s="66">
        <f t="shared" si="11"/>
        <v>3.9637995049504946</v>
      </c>
      <c r="AO10" s="61" t="s">
        <v>33</v>
      </c>
      <c r="AP10" s="55">
        <f>'31.12.2018'!O10+'31.12.2018'!Q10</f>
        <v>2.5</v>
      </c>
      <c r="AQ10" s="55">
        <f>'31.12.2018'!P10+'31.12.2018'!R10</f>
        <v>2.5</v>
      </c>
    </row>
    <row r="11" spans="1:43" x14ac:dyDescent="0.25">
      <c r="A11" s="40" t="s">
        <v>83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0"/>
        <v>1.0967769959169489E-2</v>
      </c>
      <c r="AD11" s="53">
        <f t="shared" si="1"/>
        <v>0</v>
      </c>
      <c r="AE11" s="53">
        <f t="shared" si="8"/>
        <v>0.10334020974245813</v>
      </c>
      <c r="AF11" s="53">
        <f t="shared" si="9"/>
        <v>0</v>
      </c>
      <c r="AG11" s="53">
        <f t="shared" si="2"/>
        <v>0.62096776995916947</v>
      </c>
      <c r="AH11" s="53">
        <f t="shared" si="3"/>
        <v>0.8</v>
      </c>
      <c r="AI11" s="55">
        <f t="shared" si="6"/>
        <v>0.74516132395100332</v>
      </c>
      <c r="AJ11" s="55">
        <f t="shared" si="6"/>
        <v>0.96</v>
      </c>
      <c r="AK11" s="55">
        <f t="shared" si="4"/>
        <v>0.61889388411085056</v>
      </c>
      <c r="AL11" s="55">
        <f t="shared" si="5"/>
        <v>0.79558602983379723</v>
      </c>
      <c r="AM11" s="55">
        <f t="shared" si="10"/>
        <v>0.81573140314685566</v>
      </c>
      <c r="AN11" s="55">
        <f t="shared" si="11"/>
        <v>0.84199271802577591</v>
      </c>
      <c r="AO11" s="61" t="s">
        <v>34</v>
      </c>
      <c r="AP11" s="55">
        <f>'31.12.2018'!O11+'31.12.2018'!Q11</f>
        <v>2.3315999999999999</v>
      </c>
      <c r="AQ11" s="55">
        <f>'31.12.2018'!P11+'31.12.2018'!R11</f>
        <v>2.7563999999999997</v>
      </c>
    </row>
    <row r="12" spans="1:43" x14ac:dyDescent="0.25">
      <c r="A12" s="40" t="s">
        <v>84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29.277999999999999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0"/>
        <v>0</v>
      </c>
      <c r="AD12" s="53">
        <f t="shared" si="1"/>
        <v>0</v>
      </c>
      <c r="AE12" s="53">
        <f t="shared" si="8"/>
        <v>0</v>
      </c>
      <c r="AF12" s="53">
        <f t="shared" si="9"/>
        <v>0</v>
      </c>
      <c r="AG12" s="53">
        <f t="shared" si="2"/>
        <v>0.98</v>
      </c>
      <c r="AH12" s="53">
        <f t="shared" si="3"/>
        <v>1.3</v>
      </c>
      <c r="AI12" s="55">
        <f t="shared" si="6"/>
        <v>1.1759999999999999</v>
      </c>
      <c r="AJ12" s="55">
        <f t="shared" si="6"/>
        <v>1.56</v>
      </c>
      <c r="AK12" s="55">
        <f t="shared" si="4"/>
        <v>0.97989817704056492</v>
      </c>
      <c r="AL12" s="55">
        <f t="shared" si="5"/>
        <v>1.299988393108823</v>
      </c>
      <c r="AM12" s="55">
        <f t="shared" si="10"/>
        <v>0.98074142916150364</v>
      </c>
      <c r="AN12" s="55">
        <f t="shared" si="11"/>
        <v>1.2678339818417639</v>
      </c>
      <c r="AO12" s="61" t="s">
        <v>35</v>
      </c>
      <c r="AP12" s="55">
        <f>'31.12.2018'!O12+'31.12.2018'!Q12</f>
        <v>3.5256000000000003</v>
      </c>
      <c r="AQ12" s="55">
        <f>'31.12.2018'!P12+'31.12.2018'!R12</f>
        <v>3.4727999999999994</v>
      </c>
    </row>
    <row r="13" spans="1:43" s="15" customFormat="1" x14ac:dyDescent="0.25">
      <c r="A13" s="67" t="s">
        <v>36</v>
      </c>
      <c r="B13" s="65">
        <v>36.872999999999998</v>
      </c>
      <c r="C13" s="65">
        <v>11.788</v>
      </c>
      <c r="D13" s="65">
        <v>0</v>
      </c>
      <c r="E13" s="65">
        <v>36.313000000000002</v>
      </c>
      <c r="F13" s="65">
        <v>7.87</v>
      </c>
      <c r="G13" s="65">
        <v>0</v>
      </c>
      <c r="H13" s="65"/>
      <c r="I13" s="65">
        <v>0.8</v>
      </c>
      <c r="J13" s="65">
        <v>0.8</v>
      </c>
      <c r="K13" s="65">
        <v>1.6</v>
      </c>
      <c r="L13" s="65">
        <v>1.6</v>
      </c>
      <c r="M13" s="65">
        <v>0.96</v>
      </c>
      <c r="N13" s="65">
        <v>0.96</v>
      </c>
      <c r="O13" s="65">
        <v>1.92</v>
      </c>
      <c r="P13" s="65">
        <v>1.92</v>
      </c>
      <c r="Q13" s="65">
        <v>25.811</v>
      </c>
      <c r="R13" s="65">
        <v>8.2520000000000007</v>
      </c>
      <c r="S13" s="65">
        <v>0</v>
      </c>
      <c r="T13" s="65">
        <v>53.38</v>
      </c>
      <c r="U13" s="65">
        <v>11.569000000000001</v>
      </c>
      <c r="V13" s="65"/>
      <c r="W13" s="65"/>
      <c r="X13" s="65"/>
      <c r="Y13" s="65"/>
      <c r="Z13" s="65"/>
      <c r="AA13" s="65"/>
      <c r="AB13" s="65"/>
      <c r="AC13" s="65">
        <f t="shared" si="0"/>
        <v>0</v>
      </c>
      <c r="AD13" s="65">
        <f t="shared" si="1"/>
        <v>0</v>
      </c>
      <c r="AE13" s="65">
        <f t="shared" si="8"/>
        <v>0</v>
      </c>
      <c r="AF13" s="65">
        <f t="shared" si="9"/>
        <v>0</v>
      </c>
      <c r="AG13" s="53">
        <f t="shared" si="2"/>
        <v>0.8</v>
      </c>
      <c r="AH13" s="53">
        <f t="shared" si="3"/>
        <v>1.6</v>
      </c>
      <c r="AI13" s="55">
        <f t="shared" si="6"/>
        <v>0.96</v>
      </c>
      <c r="AJ13" s="55">
        <f t="shared" si="6"/>
        <v>1.92</v>
      </c>
      <c r="AK13" s="66">
        <f t="shared" si="4"/>
        <v>0.69999728798850114</v>
      </c>
      <c r="AL13" s="66">
        <f t="shared" si="5"/>
        <v>1.4699969707818137</v>
      </c>
      <c r="AM13" s="66">
        <f t="shared" si="10"/>
        <v>0.70003393281303028</v>
      </c>
      <c r="AN13" s="66">
        <f t="shared" si="11"/>
        <v>1.470012706480305</v>
      </c>
      <c r="AO13" s="61" t="s">
        <v>36</v>
      </c>
      <c r="AP13" s="55">
        <f>'31.12.2018'!O13+'31.12.2018'!Q13</f>
        <v>3.456</v>
      </c>
      <c r="AQ13" s="55">
        <f>'31.12.2018'!P13+'31.12.2018'!R13</f>
        <v>3.456</v>
      </c>
    </row>
    <row r="14" spans="1:43" x14ac:dyDescent="0.25">
      <c r="A14" s="40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0"/>
        <v>0</v>
      </c>
      <c r="AD14" s="53">
        <f t="shared" si="1"/>
        <v>0</v>
      </c>
      <c r="AE14" s="53">
        <f t="shared" si="8"/>
        <v>0</v>
      </c>
      <c r="AF14" s="53">
        <f t="shared" si="9"/>
        <v>0</v>
      </c>
      <c r="AG14" s="53">
        <f t="shared" si="2"/>
        <v>1.1499999999999999</v>
      </c>
      <c r="AH14" s="53">
        <f t="shared" si="3"/>
        <v>1.3</v>
      </c>
      <c r="AI14" s="55">
        <f t="shared" si="6"/>
        <v>1.38</v>
      </c>
      <c r="AJ14" s="55">
        <f t="shared" si="6"/>
        <v>1.56</v>
      </c>
      <c r="AK14" s="55">
        <f t="shared" si="4"/>
        <v>1.1520338946782789</v>
      </c>
      <c r="AL14" s="55">
        <f t="shared" si="5"/>
        <v>1.3016703656114941</v>
      </c>
      <c r="AM14" s="55">
        <f t="shared" si="10"/>
        <v>1.2099607267705321</v>
      </c>
      <c r="AN14" s="55">
        <f t="shared" si="11"/>
        <v>1.3286790266512165</v>
      </c>
      <c r="AO14" s="61" t="s">
        <v>37</v>
      </c>
      <c r="AP14" s="55">
        <f>'31.12.2018'!O14+'31.12.2018'!Q14</f>
        <v>3.51</v>
      </c>
      <c r="AQ14" s="55">
        <f>'31.12.2018'!P14+'31.12.2018'!R14</f>
        <v>3.6179999999999999</v>
      </c>
    </row>
    <row r="15" spans="1:43" x14ac:dyDescent="0.25">
      <c r="A15" s="40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5"/>
      <c r="AJ15" s="55"/>
      <c r="AK15" s="55"/>
      <c r="AL15" s="55"/>
      <c r="AM15" s="55"/>
      <c r="AN15" s="55"/>
      <c r="AO15" s="61" t="s">
        <v>38</v>
      </c>
      <c r="AP15" s="55">
        <f>'31.12.2018'!O15+'31.12.2018'!Q15</f>
        <v>4.2780000000000005</v>
      </c>
      <c r="AQ15" s="55">
        <f>'31.12.2018'!P15+'31.12.2018'!R15</f>
        <v>4.2780000000000005</v>
      </c>
    </row>
    <row r="16" spans="1:43" x14ac:dyDescent="0.25">
      <c r="A16" s="40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0"/>
        <v>0.11849604637715984</v>
      </c>
      <c r="AD16" s="53">
        <f t="shared" si="1"/>
        <v>0.11882713454940048</v>
      </c>
      <c r="AE16" s="53">
        <f t="shared" si="8"/>
        <v>7.8722718617255022E-2</v>
      </c>
      <c r="AF16" s="53">
        <f t="shared" si="9"/>
        <v>6.5533099571828804E-2</v>
      </c>
      <c r="AG16" s="53">
        <f t="shared" si="2"/>
        <v>0.99849604637715983</v>
      </c>
      <c r="AH16" s="53">
        <f t="shared" si="3"/>
        <v>1.0288271345494004</v>
      </c>
      <c r="AI16" s="55">
        <f t="shared" si="6"/>
        <v>1.1981952556525917</v>
      </c>
      <c r="AJ16" s="55">
        <f t="shared" si="6"/>
        <v>1.2345925614592805</v>
      </c>
      <c r="AK16" s="55">
        <f t="shared" si="4"/>
        <v>0.99849814896860367</v>
      </c>
      <c r="AL16" s="55">
        <f t="shared" si="5"/>
        <v>1.0288065780725819</v>
      </c>
      <c r="AM16" s="55">
        <f t="shared" si="10"/>
        <v>0.95872857770616671</v>
      </c>
      <c r="AN16" s="55">
        <f t="shared" si="11"/>
        <v>0.97554666713653904</v>
      </c>
      <c r="AO16" s="61" t="s">
        <v>39</v>
      </c>
      <c r="AP16" s="55">
        <f>'31.12.2018'!O16+'31.12.2018'!Q16</f>
        <v>2.988</v>
      </c>
      <c r="AQ16" s="55">
        <f>'31.12.2018'!P16+'31.12.2018'!R16</f>
        <v>2.988</v>
      </c>
    </row>
    <row r="17" spans="1:43" s="15" customFormat="1" x14ac:dyDescent="0.25">
      <c r="A17" s="67" t="s">
        <v>40</v>
      </c>
      <c r="B17" s="65">
        <v>48.48</v>
      </c>
      <c r="C17" s="65">
        <v>6.8789999999999996</v>
      </c>
      <c r="D17" s="65">
        <v>7.4999999999999997E-2</v>
      </c>
      <c r="E17" s="65">
        <v>46.804000000000002</v>
      </c>
      <c r="F17" s="65">
        <v>4.7789999999999999</v>
      </c>
      <c r="G17" s="65"/>
      <c r="H17" s="65"/>
      <c r="I17" s="65">
        <v>1.1399999999999999</v>
      </c>
      <c r="J17" s="65">
        <v>1.68</v>
      </c>
      <c r="K17" s="65">
        <v>1.68</v>
      </c>
      <c r="L17" s="65">
        <v>2.71</v>
      </c>
      <c r="M17" s="65">
        <v>1.3680000000000001</v>
      </c>
      <c r="N17" s="65">
        <v>2.016</v>
      </c>
      <c r="O17" s="65">
        <v>2.016</v>
      </c>
      <c r="P17" s="65">
        <v>3.2519999999999998</v>
      </c>
      <c r="Q17" s="65">
        <v>55.267000000000003</v>
      </c>
      <c r="R17" s="65">
        <v>11.557</v>
      </c>
      <c r="S17" s="65">
        <v>0.126</v>
      </c>
      <c r="T17" s="65">
        <v>78.631</v>
      </c>
      <c r="U17" s="65">
        <v>12.951000000000001</v>
      </c>
      <c r="V17" s="65">
        <v>0</v>
      </c>
      <c r="W17" s="65">
        <v>7.694</v>
      </c>
      <c r="X17" s="65">
        <v>0.33</v>
      </c>
      <c r="Y17" s="65">
        <v>1.9E-2</v>
      </c>
      <c r="Z17" s="65">
        <v>0</v>
      </c>
      <c r="AA17" s="65">
        <v>0</v>
      </c>
      <c r="AB17" s="65">
        <v>0</v>
      </c>
      <c r="AC17" s="65">
        <f t="shared" si="0"/>
        <v>0.15870462046204623</v>
      </c>
      <c r="AD17" s="65">
        <f t="shared" si="1"/>
        <v>0</v>
      </c>
      <c r="AE17" s="65">
        <f t="shared" si="8"/>
        <v>5.0186942766752951E-2</v>
      </c>
      <c r="AF17" s="65">
        <f t="shared" si="9"/>
        <v>0</v>
      </c>
      <c r="AG17" s="53">
        <f t="shared" si="2"/>
        <v>1.298704620462046</v>
      </c>
      <c r="AH17" s="53">
        <f t="shared" si="3"/>
        <v>1.68</v>
      </c>
      <c r="AI17" s="55">
        <f t="shared" si="6"/>
        <v>1.5584455445544552</v>
      </c>
      <c r="AJ17" s="55">
        <f t="shared" si="6"/>
        <v>2.016</v>
      </c>
      <c r="AK17" s="66">
        <f t="shared" si="4"/>
        <v>1.2987004950495051</v>
      </c>
      <c r="AL17" s="66">
        <f t="shared" si="5"/>
        <v>1.6800059823946671</v>
      </c>
      <c r="AM17" s="66">
        <f t="shared" si="10"/>
        <v>1.7280127925570579</v>
      </c>
      <c r="AN17" s="66">
        <f t="shared" si="11"/>
        <v>2.7099811676082863</v>
      </c>
      <c r="AO17" s="61" t="s">
        <v>40</v>
      </c>
      <c r="AP17" s="55">
        <f>'31.12.2018'!O17+'31.12.2018'!Q17</f>
        <v>3.7560000000000002</v>
      </c>
      <c r="AQ17" s="55">
        <f>'31.12.2018'!P17+'31.12.2018'!R17</f>
        <v>5.52</v>
      </c>
    </row>
    <row r="18" spans="1:43" x14ac:dyDescent="0.25">
      <c r="A18" s="40" t="s">
        <v>85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>
        <v>0.84299999999999997</v>
      </c>
      <c r="AB18" s="53"/>
      <c r="AC18" s="53">
        <f t="shared" si="0"/>
        <v>6.9620980531868437E-2</v>
      </c>
      <c r="AD18" s="53">
        <f t="shared" si="1"/>
        <v>3.5452454816255349E-2</v>
      </c>
      <c r="AE18" s="53">
        <f t="shared" si="8"/>
        <v>6.6647452986526398E-2</v>
      </c>
      <c r="AF18" s="53">
        <f t="shared" si="9"/>
        <v>7.6448716786070556E-2</v>
      </c>
      <c r="AG18" s="53">
        <f t="shared" si="2"/>
        <v>1.0996209805318684</v>
      </c>
      <c r="AH18" s="53">
        <f t="shared" si="3"/>
        <v>1.0654524548162554</v>
      </c>
      <c r="AI18" s="55">
        <f t="shared" si="6"/>
        <v>1.319545176638242</v>
      </c>
      <c r="AJ18" s="55">
        <f t="shared" si="6"/>
        <v>1.2785429457795063</v>
      </c>
      <c r="AK18" s="55">
        <f t="shared" si="4"/>
        <v>0.51169926678465538</v>
      </c>
      <c r="AL18" s="55">
        <f t="shared" si="5"/>
        <v>1.0327977651216991</v>
      </c>
      <c r="AM18" s="55">
        <f t="shared" si="10"/>
        <v>0.87509244802366659</v>
      </c>
      <c r="AN18" s="55">
        <f t="shared" si="11"/>
        <v>0.86832320667452612</v>
      </c>
      <c r="AO18" s="61" t="s">
        <v>41</v>
      </c>
      <c r="AP18" s="55">
        <f>'31.12.2018'!O18+'31.12.2018'!Q18</f>
        <v>3.8280000000000003</v>
      </c>
      <c r="AQ18" s="55">
        <f>'31.12.2018'!P18+'31.12.2018'!R18</f>
        <v>4.4039999999999999</v>
      </c>
    </row>
    <row r="19" spans="1:43" x14ac:dyDescent="0.25">
      <c r="A19" s="40" t="s">
        <v>41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0"/>
        <v>0</v>
      </c>
      <c r="AD19" s="53">
        <f t="shared" si="1"/>
        <v>0</v>
      </c>
      <c r="AE19" s="53">
        <f t="shared" si="8"/>
        <v>0</v>
      </c>
      <c r="AF19" s="53">
        <f t="shared" si="9"/>
        <v>0</v>
      </c>
      <c r="AG19" s="53">
        <f t="shared" si="2"/>
        <v>0.88</v>
      </c>
      <c r="AH19" s="53">
        <f t="shared" si="3"/>
        <v>1.64</v>
      </c>
      <c r="AI19" s="55">
        <f t="shared" si="6"/>
        <v>1.056</v>
      </c>
      <c r="AJ19" s="55">
        <f t="shared" si="6"/>
        <v>1.9679999999999997</v>
      </c>
      <c r="AK19" s="55">
        <f t="shared" si="4"/>
        <v>0.87942701671976364</v>
      </c>
      <c r="AL19" s="55">
        <f t="shared" si="5"/>
        <v>1.639238711141366</v>
      </c>
      <c r="AM19" s="55">
        <f t="shared" si="10"/>
        <v>1.0438565051643804</v>
      </c>
      <c r="AN19" s="55">
        <f t="shared" si="11"/>
        <v>1.8885325850953669</v>
      </c>
      <c r="AO19" s="61" t="s">
        <v>42</v>
      </c>
      <c r="AP19" s="55">
        <f>'31.12.2018'!O19+'31.12.2018'!Q19</f>
        <v>4.3680000000000003</v>
      </c>
      <c r="AQ19" s="55">
        <f>'31.12.2018'!P19+'31.12.2018'!R19</f>
        <v>4.3680000000000003</v>
      </c>
    </row>
    <row r="20" spans="1:43" x14ac:dyDescent="0.25">
      <c r="A20" s="40" t="s">
        <v>86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>
        <f t="shared" si="2"/>
        <v>0</v>
      </c>
      <c r="AH20" s="53">
        <f t="shared" si="3"/>
        <v>0</v>
      </c>
      <c r="AI20" s="55">
        <f t="shared" si="6"/>
        <v>0</v>
      </c>
      <c r="AJ20" s="55">
        <f t="shared" si="6"/>
        <v>0</v>
      </c>
      <c r="AK20" s="55"/>
      <c r="AL20" s="55"/>
      <c r="AM20" s="55"/>
      <c r="AN20" s="55"/>
      <c r="AO20" s="64" t="s">
        <v>43</v>
      </c>
      <c r="AP20" s="55">
        <f>'31.12.2018'!O20+'31.12.2018'!Q20</f>
        <v>3.1268382064165277</v>
      </c>
      <c r="AQ20" s="55">
        <f>'31.12.2018'!P20+'31.12.2018'!R20</f>
        <v>3.7395528824732476</v>
      </c>
    </row>
    <row r="21" spans="1:43" x14ac:dyDescent="0.25">
      <c r="A21" s="58" t="s">
        <v>43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ref="AC21:AC31" si="24">W21/B21</f>
        <v>5.9174293350611491E-3</v>
      </c>
      <c r="AD21" s="53">
        <f t="shared" ref="AD21:AD31" si="25">Z21/E21</f>
        <v>5.889227873654812E-3</v>
      </c>
      <c r="AE21" s="53">
        <f t="shared" ref="AE21:AE31" si="26">(X21+Y21)/(C21+D21)</f>
        <v>1.4628205774898577E-3</v>
      </c>
      <c r="AF21" s="53">
        <f t="shared" ref="AF21:AF31" si="27">(AA21+AB21)/(F21+G21)</f>
        <v>9.4609936746499425E-4</v>
      </c>
      <c r="AG21" s="53">
        <f t="shared" si="2"/>
        <v>0.88369138252207013</v>
      </c>
      <c r="AH21" s="53">
        <f t="shared" si="3"/>
        <v>1.6710127549342522</v>
      </c>
      <c r="AI21" s="55">
        <f t="shared" si="6"/>
        <v>1.0604296590264841</v>
      </c>
      <c r="AJ21" s="55">
        <f t="shared" si="6"/>
        <v>2.0052153059211024</v>
      </c>
      <c r="AK21" s="55">
        <f t="shared" ref="AK21:AK42" si="28">(Q21+W21)/B21</f>
        <v>0.88369138252207025</v>
      </c>
      <c r="AL21" s="55">
        <f t="shared" ref="AL21:AL42" si="29">(T21+Z21)/E21</f>
        <v>1.6710127549342522</v>
      </c>
      <c r="AM21" s="55">
        <f t="shared" ref="AM21:AM42" si="30">(R21+X21)/C21</f>
        <v>0.94171776930670958</v>
      </c>
      <c r="AN21" s="55">
        <f t="shared" ref="AN21:AN42" si="31">(U21+V21+AA21+AB21)/(F21+G21)</f>
        <v>2.1638049413418394</v>
      </c>
      <c r="AO21" s="61" t="s">
        <v>44</v>
      </c>
      <c r="AP21" s="55">
        <f>'31.12.2018'!O21+'31.12.2018'!Q21</f>
        <v>3.8159999999999998</v>
      </c>
      <c r="AQ21" s="55">
        <f>'31.12.2018'!P21+'31.12.2018'!R21</f>
        <v>3.8159999999999998</v>
      </c>
    </row>
    <row r="22" spans="1:43" s="15" customFormat="1" x14ac:dyDescent="0.25">
      <c r="A22" s="67" t="s">
        <v>87</v>
      </c>
      <c r="B22" s="65">
        <v>27.053999999999998</v>
      </c>
      <c r="C22" s="65">
        <v>8.9260000000000002</v>
      </c>
      <c r="D22" s="65">
        <v>0</v>
      </c>
      <c r="E22" s="65">
        <v>24.202999999999999</v>
      </c>
      <c r="F22" s="65">
        <v>3.0680000000000001</v>
      </c>
      <c r="G22" s="65">
        <v>0</v>
      </c>
      <c r="H22" s="65"/>
      <c r="I22" s="65">
        <v>0.8</v>
      </c>
      <c r="J22" s="65">
        <v>0.8</v>
      </c>
      <c r="K22" s="65">
        <v>1.1399999999999999</v>
      </c>
      <c r="L22" s="65">
        <v>1.1399999999999999</v>
      </c>
      <c r="M22" s="65">
        <v>0.96</v>
      </c>
      <c r="N22" s="65">
        <v>0.96</v>
      </c>
      <c r="O22" s="65">
        <v>1.37</v>
      </c>
      <c r="P22" s="65">
        <v>1.37</v>
      </c>
      <c r="Q22" s="65">
        <v>20.622</v>
      </c>
      <c r="R22" s="65">
        <v>8.1769999999999996</v>
      </c>
      <c r="S22" s="65">
        <v>0</v>
      </c>
      <c r="T22" s="65">
        <v>26.148</v>
      </c>
      <c r="U22" s="65">
        <v>4.976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f t="shared" si="24"/>
        <v>0</v>
      </c>
      <c r="AD22" s="65">
        <f t="shared" si="25"/>
        <v>0</v>
      </c>
      <c r="AE22" s="65">
        <f t="shared" si="26"/>
        <v>0</v>
      </c>
      <c r="AF22" s="65">
        <f t="shared" si="27"/>
        <v>0</v>
      </c>
      <c r="AG22" s="53">
        <f t="shared" si="2"/>
        <v>0.8</v>
      </c>
      <c r="AH22" s="53">
        <f t="shared" si="3"/>
        <v>1.1399999999999999</v>
      </c>
      <c r="AI22" s="55">
        <f t="shared" si="6"/>
        <v>0.96</v>
      </c>
      <c r="AJ22" s="55">
        <f t="shared" si="6"/>
        <v>1.3679999999999999</v>
      </c>
      <c r="AK22" s="66">
        <f t="shared" si="28"/>
        <v>0.76225327123530717</v>
      </c>
      <c r="AL22" s="66">
        <f t="shared" si="29"/>
        <v>1.0803619386026526</v>
      </c>
      <c r="AM22" s="66">
        <f t="shared" si="30"/>
        <v>0.9160878332959892</v>
      </c>
      <c r="AN22" s="66">
        <f t="shared" si="31"/>
        <v>1.621903520208605</v>
      </c>
      <c r="AO22" s="61" t="s">
        <v>45</v>
      </c>
      <c r="AP22" s="55">
        <f>'31.12.2018'!O22+'31.12.2018'!Q22</f>
        <v>3.6</v>
      </c>
      <c r="AQ22" s="55">
        <f>'31.12.2018'!P22+'31.12.2018'!R22</f>
        <v>3.6</v>
      </c>
    </row>
    <row r="23" spans="1:43" x14ac:dyDescent="0.25">
      <c r="A23" s="40" t="s">
        <v>45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24"/>
        <v>0</v>
      </c>
      <c r="AD23" s="53">
        <f t="shared" si="25"/>
        <v>0</v>
      </c>
      <c r="AE23" s="53">
        <f t="shared" si="26"/>
        <v>0</v>
      </c>
      <c r="AF23" s="53">
        <f t="shared" si="27"/>
        <v>0</v>
      </c>
      <c r="AG23" s="53">
        <f t="shared" si="2"/>
        <v>1.1100000000000001</v>
      </c>
      <c r="AH23" s="53">
        <f t="shared" si="3"/>
        <v>1.42</v>
      </c>
      <c r="AI23" s="55">
        <f t="shared" si="6"/>
        <v>1.3320000000000001</v>
      </c>
      <c r="AJ23" s="55">
        <f t="shared" si="6"/>
        <v>1.704</v>
      </c>
      <c r="AK23" s="55">
        <f t="shared" si="28"/>
        <v>1.0845812438757276</v>
      </c>
      <c r="AL23" s="55">
        <f t="shared" si="29"/>
        <v>1.373533830622842</v>
      </c>
      <c r="AM23" s="55">
        <f t="shared" si="30"/>
        <v>1.080019864260884</v>
      </c>
      <c r="AN23" s="55">
        <f t="shared" si="31"/>
        <v>1.3716961563845502</v>
      </c>
      <c r="AO23" s="61" t="s">
        <v>46</v>
      </c>
      <c r="AP23" s="55">
        <f>'31.12.2018'!O23+'31.12.2018'!Q23</f>
        <v>4.1495999999999995</v>
      </c>
      <c r="AQ23" s="55">
        <f>'31.12.2018'!P23+'31.12.2018'!R23</f>
        <v>4.7004000000000001</v>
      </c>
    </row>
    <row r="24" spans="1:43" s="15" customFormat="1" x14ac:dyDescent="0.25">
      <c r="A24" s="67" t="s">
        <v>88</v>
      </c>
      <c r="B24" s="65">
        <v>65.808000000000007</v>
      </c>
      <c r="C24" s="65">
        <v>30.744</v>
      </c>
      <c r="D24" s="65">
        <v>0</v>
      </c>
      <c r="E24" s="65">
        <v>62.63</v>
      </c>
      <c r="F24" s="65">
        <v>20.655000000000001</v>
      </c>
      <c r="G24" s="65"/>
      <c r="H24" s="65"/>
      <c r="I24" s="65">
        <v>0.89</v>
      </c>
      <c r="J24" s="65">
        <v>1.28</v>
      </c>
      <c r="K24" s="65">
        <v>0.89</v>
      </c>
      <c r="L24" s="65">
        <v>1.28</v>
      </c>
      <c r="M24" s="65">
        <v>1.0680000000000001</v>
      </c>
      <c r="N24" s="65">
        <v>1.536</v>
      </c>
      <c r="O24" s="65">
        <v>1.0680000000000001</v>
      </c>
      <c r="P24" s="65">
        <v>1.536</v>
      </c>
      <c r="Q24" s="65">
        <v>58.569000000000003</v>
      </c>
      <c r="R24" s="65">
        <v>39.351999999999997</v>
      </c>
      <c r="S24" s="65">
        <v>0</v>
      </c>
      <c r="T24" s="65">
        <v>56.006</v>
      </c>
      <c r="U24" s="65">
        <v>30.353000000000002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f t="shared" si="24"/>
        <v>0</v>
      </c>
      <c r="AD24" s="65">
        <f t="shared" si="25"/>
        <v>0</v>
      </c>
      <c r="AE24" s="65">
        <f t="shared" si="26"/>
        <v>0</v>
      </c>
      <c r="AF24" s="65">
        <f t="shared" si="27"/>
        <v>0</v>
      </c>
      <c r="AG24" s="53">
        <f t="shared" si="2"/>
        <v>0.89</v>
      </c>
      <c r="AH24" s="53">
        <f t="shared" si="3"/>
        <v>0.89</v>
      </c>
      <c r="AI24" s="55">
        <f t="shared" si="6"/>
        <v>1.0680000000000001</v>
      </c>
      <c r="AJ24" s="55">
        <f t="shared" si="6"/>
        <v>1.0680000000000001</v>
      </c>
      <c r="AK24" s="66">
        <f t="shared" si="28"/>
        <v>0.88999817651349378</v>
      </c>
      <c r="AL24" s="66">
        <f t="shared" si="29"/>
        <v>0.8942359891425834</v>
      </c>
      <c r="AM24" s="66">
        <f t="shared" si="30"/>
        <v>1.2799895914650012</v>
      </c>
      <c r="AN24" s="66">
        <f t="shared" si="31"/>
        <v>1.469523117889131</v>
      </c>
      <c r="AO24" s="61" t="s">
        <v>47</v>
      </c>
      <c r="AP24" s="55">
        <f>'31.12.2018'!O24+'31.12.2018'!Q24</f>
        <v>2.7</v>
      </c>
      <c r="AQ24" s="55">
        <f>'31.12.2018'!P24+'31.12.2018'!R24</f>
        <v>2.7</v>
      </c>
    </row>
    <row r="25" spans="1:43" x14ac:dyDescent="0.25">
      <c r="A25" s="40" t="s">
        <v>47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24"/>
        <v>0</v>
      </c>
      <c r="AD25" s="53">
        <f t="shared" si="25"/>
        <v>0</v>
      </c>
      <c r="AE25" s="53">
        <f t="shared" si="26"/>
        <v>0</v>
      </c>
      <c r="AF25" s="53">
        <f t="shared" si="27"/>
        <v>0</v>
      </c>
      <c r="AG25" s="53">
        <f t="shared" si="2"/>
        <v>0.75</v>
      </c>
      <c r="AH25" s="53">
        <f t="shared" si="3"/>
        <v>1.24</v>
      </c>
      <c r="AI25" s="55">
        <f t="shared" si="6"/>
        <v>0.89999999999999991</v>
      </c>
      <c r="AJ25" s="55">
        <f t="shared" si="6"/>
        <v>1.488</v>
      </c>
      <c r="AK25" s="55">
        <f t="shared" si="28"/>
        <v>0.75615624673314896</v>
      </c>
      <c r="AL25" s="55">
        <f t="shared" si="29"/>
        <v>1.2315762399589876</v>
      </c>
      <c r="AM25" s="55">
        <f t="shared" si="30"/>
        <v>0.65771646125267458</v>
      </c>
      <c r="AN25" s="55">
        <f t="shared" si="31"/>
        <v>1.1102469659745284</v>
      </c>
      <c r="AO25" s="61" t="s">
        <v>48</v>
      </c>
      <c r="AP25" s="55">
        <f>'31.12.2018'!O25+'31.12.2018'!Q25</f>
        <v>3.516</v>
      </c>
      <c r="AQ25" s="55">
        <f>'31.12.2018'!P25+'31.12.2018'!R25</f>
        <v>3.7800000000000002</v>
      </c>
    </row>
    <row r="26" spans="1:43" x14ac:dyDescent="0.25">
      <c r="A26" s="40" t="s">
        <v>89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24"/>
        <v>0</v>
      </c>
      <c r="AD26" s="53">
        <f t="shared" si="25"/>
        <v>0</v>
      </c>
      <c r="AE26" s="53">
        <f t="shared" si="26"/>
        <v>0</v>
      </c>
      <c r="AF26" s="53">
        <f t="shared" si="27"/>
        <v>0</v>
      </c>
      <c r="AG26" s="53">
        <f t="shared" si="2"/>
        <v>0.95</v>
      </c>
      <c r="AH26" s="53">
        <f t="shared" si="3"/>
        <v>1.2</v>
      </c>
      <c r="AI26" s="55">
        <f t="shared" si="6"/>
        <v>1.1399999999999999</v>
      </c>
      <c r="AJ26" s="55">
        <f t="shared" si="6"/>
        <v>1.44</v>
      </c>
      <c r="AK26" s="55">
        <f t="shared" si="28"/>
        <v>0.94997561885093085</v>
      </c>
      <c r="AL26" s="55">
        <f t="shared" si="29"/>
        <v>1.199990389697756</v>
      </c>
      <c r="AM26" s="55">
        <f t="shared" si="30"/>
        <v>1.0500039249548629</v>
      </c>
      <c r="AN26" s="55">
        <f t="shared" si="31"/>
        <v>1.4598601909633748</v>
      </c>
      <c r="AO26" s="61" t="s">
        <v>49</v>
      </c>
      <c r="AP26" s="55">
        <f>'31.12.2018'!O26+'31.12.2018'!Q26</f>
        <v>2.6760000000000002</v>
      </c>
      <c r="AQ26" s="55">
        <f>'31.12.2018'!P26+'31.12.2018'!R26</f>
        <v>3.1679999999999997</v>
      </c>
    </row>
    <row r="27" spans="1:43" s="15" customFormat="1" x14ac:dyDescent="0.25">
      <c r="A27" s="67" t="s">
        <v>90</v>
      </c>
      <c r="B27" s="65">
        <v>86.088999999999999</v>
      </c>
      <c r="C27" s="65">
        <v>29.715</v>
      </c>
      <c r="D27" s="65">
        <v>1.278</v>
      </c>
      <c r="E27" s="65">
        <v>82.031999999999996</v>
      </c>
      <c r="F27" s="65">
        <v>161.767</v>
      </c>
      <c r="G27" s="65">
        <v>6.4000000000000001E-2</v>
      </c>
      <c r="H27" s="65"/>
      <c r="I27" s="65">
        <v>0.62</v>
      </c>
      <c r="J27" s="65">
        <v>0.9</v>
      </c>
      <c r="K27" s="65">
        <v>1.22</v>
      </c>
      <c r="L27" s="65">
        <v>1.38</v>
      </c>
      <c r="M27" s="65">
        <f>I27*1.2</f>
        <v>0.74399999999999999</v>
      </c>
      <c r="N27" s="65">
        <f>J27*1.2</f>
        <v>1.08</v>
      </c>
      <c r="O27" s="65">
        <f>K27*1.2</f>
        <v>1.464</v>
      </c>
      <c r="P27" s="65">
        <f>L27*1.2</f>
        <v>1.6559999999999999</v>
      </c>
      <c r="Q27" s="65">
        <v>53.636000000000003</v>
      </c>
      <c r="R27" s="65">
        <v>26.614999999999998</v>
      </c>
      <c r="S27" s="65">
        <v>1.1499999999999999</v>
      </c>
      <c r="T27" s="65">
        <v>100.179</v>
      </c>
      <c r="U27" s="65">
        <v>239.465</v>
      </c>
      <c r="V27" s="65">
        <v>8.7999999999999995E-2</v>
      </c>
      <c r="W27" s="65"/>
      <c r="X27" s="65"/>
      <c r="Y27" s="65"/>
      <c r="Z27" s="65"/>
      <c r="AA27" s="65"/>
      <c r="AB27" s="65"/>
      <c r="AC27" s="65">
        <f t="shared" si="24"/>
        <v>0</v>
      </c>
      <c r="AD27" s="65">
        <f t="shared" si="25"/>
        <v>0</v>
      </c>
      <c r="AE27" s="65">
        <f t="shared" si="26"/>
        <v>0</v>
      </c>
      <c r="AF27" s="65">
        <f t="shared" si="27"/>
        <v>0</v>
      </c>
      <c r="AG27" s="53">
        <f t="shared" si="2"/>
        <v>0.62</v>
      </c>
      <c r="AH27" s="53">
        <f t="shared" si="3"/>
        <v>1.22</v>
      </c>
      <c r="AI27" s="55">
        <f t="shared" si="6"/>
        <v>0.74399999999999999</v>
      </c>
      <c r="AJ27" s="55">
        <f t="shared" si="6"/>
        <v>1.464</v>
      </c>
      <c r="AK27" s="66">
        <f t="shared" si="28"/>
        <v>0.62302965535666577</v>
      </c>
      <c r="AL27" s="66">
        <f t="shared" si="29"/>
        <v>1.221218548858982</v>
      </c>
      <c r="AM27" s="66">
        <f t="shared" si="30"/>
        <v>0.89567558472152109</v>
      </c>
      <c r="AN27" s="66">
        <f t="shared" si="31"/>
        <v>1.4802664508036163</v>
      </c>
      <c r="AO27" s="64" t="s">
        <v>50</v>
      </c>
      <c r="AP27" s="55">
        <f>'31.12.2018'!O27+'31.12.2018'!Q27</f>
        <v>2.82</v>
      </c>
      <c r="AQ27" s="55">
        <f>'31.12.2018'!P27+'31.12.2018'!R27</f>
        <v>2.82</v>
      </c>
    </row>
    <row r="28" spans="1:43" x14ac:dyDescent="0.25">
      <c r="A28" s="58" t="s">
        <v>50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24"/>
        <v>0</v>
      </c>
      <c r="AD28" s="53">
        <f t="shared" si="25"/>
        <v>0</v>
      </c>
      <c r="AE28" s="53">
        <f t="shared" si="26"/>
        <v>0</v>
      </c>
      <c r="AF28" s="53">
        <f t="shared" si="27"/>
        <v>0</v>
      </c>
      <c r="AG28" s="53">
        <f t="shared" si="2"/>
        <v>0.76400000000000001</v>
      </c>
      <c r="AH28" s="53">
        <f t="shared" si="3"/>
        <v>0.64500000000000002</v>
      </c>
      <c r="AI28" s="55">
        <f t="shared" si="6"/>
        <v>0.91679999999999995</v>
      </c>
      <c r="AJ28" s="55">
        <f t="shared" si="6"/>
        <v>0.77400000000000002</v>
      </c>
      <c r="AK28" s="55">
        <f t="shared" si="28"/>
        <v>0.76399873769748139</v>
      </c>
      <c r="AL28" s="55">
        <f t="shared" si="29"/>
        <v>0.64499962748652739</v>
      </c>
      <c r="AM28" s="55">
        <f t="shared" si="30"/>
        <v>0.76400345399595515</v>
      </c>
      <c r="AN28" s="55">
        <f t="shared" si="31"/>
        <v>0.64499891706945289</v>
      </c>
      <c r="AO28" s="61" t="s">
        <v>51</v>
      </c>
      <c r="AP28" s="55">
        <f>'31.12.2018'!O28+'31.12.2018'!Q28</f>
        <v>2.2800000000000002</v>
      </c>
      <c r="AQ28" s="55">
        <f>'31.12.2018'!P28+'31.12.2018'!R28</f>
        <v>2.2800000000000002</v>
      </c>
    </row>
    <row r="29" spans="1:43" x14ac:dyDescent="0.25">
      <c r="A29" s="58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61" t="s">
        <v>52</v>
      </c>
      <c r="AP29" s="55">
        <f>'31.12.2018'!O29+'31.12.2018'!Q29</f>
        <v>5.0399999999999991</v>
      </c>
      <c r="AQ29" s="55">
        <f>'31.12.2018'!P29+'31.12.2018'!R29</f>
        <v>5.4399999999999995</v>
      </c>
    </row>
    <row r="30" spans="1:43" x14ac:dyDescent="0.25">
      <c r="A30" s="5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61" t="s">
        <v>53</v>
      </c>
      <c r="AP30" s="55">
        <f>'31.12.2018'!O30+'31.12.2018'!Q30</f>
        <v>2.6879999999999997</v>
      </c>
      <c r="AQ30" s="55">
        <f>'31.12.2018'!P30+'31.12.2018'!R30</f>
        <v>2.6879999999999997</v>
      </c>
    </row>
    <row r="31" spans="1:43" x14ac:dyDescent="0.25">
      <c r="A31" s="40" t="s">
        <v>51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24"/>
        <v>0</v>
      </c>
      <c r="AD31" s="53">
        <f t="shared" si="25"/>
        <v>0</v>
      </c>
      <c r="AE31" s="53">
        <f t="shared" si="26"/>
        <v>0</v>
      </c>
      <c r="AF31" s="53">
        <f t="shared" si="27"/>
        <v>0</v>
      </c>
      <c r="AG31" s="53">
        <f t="shared" si="2"/>
        <v>0.71</v>
      </c>
      <c r="AH31" s="53">
        <f t="shared" si="3"/>
        <v>0.94</v>
      </c>
      <c r="AI31" s="55">
        <f t="shared" si="6"/>
        <v>0.85199999999999998</v>
      </c>
      <c r="AJ31" s="55">
        <f t="shared" si="6"/>
        <v>1.1279999999999999</v>
      </c>
      <c r="AK31" s="55">
        <f t="shared" si="28"/>
        <v>0.72615968478812642</v>
      </c>
      <c r="AL31" s="55">
        <f t="shared" si="29"/>
        <v>0.91472088969194165</v>
      </c>
      <c r="AM31" s="55">
        <f t="shared" si="30"/>
        <v>0.71665866739007955</v>
      </c>
      <c r="AN31" s="55">
        <f t="shared" si="31"/>
        <v>0.93633352400462933</v>
      </c>
      <c r="AO31" s="61" t="s">
        <v>54</v>
      </c>
      <c r="AP31" s="55">
        <f>'31.12.2018'!O31+'31.12.2018'!Q31</f>
        <v>3.0804</v>
      </c>
      <c r="AQ31" s="55">
        <f>'31.12.2018'!P31+'31.12.2018'!R31</f>
        <v>4.0944000000000003</v>
      </c>
    </row>
    <row r="32" spans="1:43" s="15" customFormat="1" x14ac:dyDescent="0.25">
      <c r="A32" s="67" t="s">
        <v>91</v>
      </c>
      <c r="B32" s="65">
        <v>64.039000000000001</v>
      </c>
      <c r="C32" s="65">
        <v>43.48</v>
      </c>
      <c r="D32" s="65"/>
      <c r="E32" s="65">
        <v>50.304000000000002</v>
      </c>
      <c r="F32" s="65">
        <v>116.218</v>
      </c>
      <c r="G32" s="65"/>
      <c r="H32" s="65"/>
      <c r="I32" s="65">
        <v>1.1399999999999999</v>
      </c>
      <c r="J32" s="65">
        <v>1.29</v>
      </c>
      <c r="K32" s="65">
        <v>1.1399999999999999</v>
      </c>
      <c r="L32" s="65">
        <v>2</v>
      </c>
      <c r="M32" s="65">
        <v>1.3680000000000001</v>
      </c>
      <c r="N32" s="65">
        <v>1.548</v>
      </c>
      <c r="O32" s="65">
        <v>1.3680000000000001</v>
      </c>
      <c r="P32" s="65">
        <v>2.4</v>
      </c>
      <c r="Q32" s="65">
        <v>72.759</v>
      </c>
      <c r="R32" s="65">
        <v>56.183</v>
      </c>
      <c r="S32" s="65"/>
      <c r="T32" s="65">
        <v>57.56</v>
      </c>
      <c r="U32" s="65">
        <v>232.012</v>
      </c>
      <c r="V32" s="65"/>
      <c r="W32" s="65"/>
      <c r="X32" s="65"/>
      <c r="Y32" s="65"/>
      <c r="Z32" s="65"/>
      <c r="AA32" s="65"/>
      <c r="AB32" s="65"/>
      <c r="AC32" s="65">
        <v>0</v>
      </c>
      <c r="AD32" s="65">
        <v>0</v>
      </c>
      <c r="AE32" s="65">
        <v>0</v>
      </c>
      <c r="AF32" s="65">
        <v>0</v>
      </c>
      <c r="AG32" s="53">
        <f t="shared" si="2"/>
        <v>1.1399999999999999</v>
      </c>
      <c r="AH32" s="53">
        <f t="shared" si="3"/>
        <v>1.1399999999999999</v>
      </c>
      <c r="AI32" s="55">
        <f t="shared" si="6"/>
        <v>1.3679999999999999</v>
      </c>
      <c r="AJ32" s="55">
        <f t="shared" si="6"/>
        <v>1.3679999999999999</v>
      </c>
      <c r="AK32" s="66">
        <f t="shared" si="28"/>
        <v>1.1361670232202252</v>
      </c>
      <c r="AL32" s="66">
        <f t="shared" si="29"/>
        <v>1.1442430025445292</v>
      </c>
      <c r="AM32" s="66">
        <f t="shared" si="30"/>
        <v>1.2921573137074518</v>
      </c>
      <c r="AN32" s="66">
        <f t="shared" si="31"/>
        <v>1.9963516839043864</v>
      </c>
      <c r="AO32" s="61" t="s">
        <v>55</v>
      </c>
      <c r="AP32" s="55">
        <f>'31.12.2018'!O32+'31.12.2018'!Q32</f>
        <v>2.1120000000000001</v>
      </c>
      <c r="AQ32" s="55">
        <f>'31.12.2018'!P32+'31.12.2018'!R32</f>
        <v>2.4239999999999999</v>
      </c>
    </row>
    <row r="33" spans="1:43" x14ac:dyDescent="0.25">
      <c r="A33" s="40" t="s">
        <v>55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ref="AC33:AC42" si="32">W33/B33</f>
        <v>0</v>
      </c>
      <c r="AD33" s="53">
        <f t="shared" ref="AD33:AD42" si="33">Z33/E33</f>
        <v>0</v>
      </c>
      <c r="AE33" s="53">
        <f t="shared" ref="AE33:AE42" si="34">(X33+Y33)/(C33+D33)</f>
        <v>0</v>
      </c>
      <c r="AF33" s="53">
        <f t="shared" ref="AF33:AF42" si="35">(AA33+AB33)/(F33+G33)</f>
        <v>0</v>
      </c>
      <c r="AG33" s="53">
        <f t="shared" si="2"/>
        <v>0.77</v>
      </c>
      <c r="AH33" s="53">
        <f t="shared" si="3"/>
        <v>0.59</v>
      </c>
      <c r="AI33" s="55">
        <f t="shared" si="6"/>
        <v>0.92399999999999993</v>
      </c>
      <c r="AJ33" s="55">
        <f t="shared" si="6"/>
        <v>0.70799999999999996</v>
      </c>
      <c r="AK33" s="55">
        <f t="shared" si="28"/>
        <v>0.76098776051466765</v>
      </c>
      <c r="AL33" s="55">
        <f t="shared" si="29"/>
        <v>0.58309961193879967</v>
      </c>
      <c r="AM33" s="55">
        <f t="shared" si="30"/>
        <v>0.89000139840581727</v>
      </c>
      <c r="AN33" s="55">
        <f t="shared" si="31"/>
        <v>0.85747002559612018</v>
      </c>
      <c r="AO33" s="61" t="s">
        <v>56</v>
      </c>
      <c r="AP33" s="55">
        <f>'31.12.2018'!O33+'31.12.2018'!Q33</f>
        <v>3.3719999999999999</v>
      </c>
      <c r="AQ33" s="55">
        <f>'31.12.2018'!P33+'31.12.2018'!R33</f>
        <v>5.6280000000000001</v>
      </c>
    </row>
    <row r="34" spans="1:43" x14ac:dyDescent="0.25">
      <c r="A34" s="40" t="s">
        <v>56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32"/>
        <v>0</v>
      </c>
      <c r="AD34" s="53">
        <f t="shared" si="33"/>
        <v>0</v>
      </c>
      <c r="AE34" s="53">
        <f t="shared" si="34"/>
        <v>0</v>
      </c>
      <c r="AF34" s="53">
        <f t="shared" si="35"/>
        <v>0</v>
      </c>
      <c r="AG34" s="53">
        <f t="shared" si="2"/>
        <v>0.89</v>
      </c>
      <c r="AH34" s="53">
        <f t="shared" si="3"/>
        <v>1.32</v>
      </c>
      <c r="AI34" s="55">
        <f t="shared" si="6"/>
        <v>1.0680000000000001</v>
      </c>
      <c r="AJ34" s="55">
        <f t="shared" si="6"/>
        <v>1.5840000000000001</v>
      </c>
      <c r="AK34" s="55">
        <f t="shared" si="28"/>
        <v>0.91588165515316444</v>
      </c>
      <c r="AL34" s="55">
        <f t="shared" si="29"/>
        <v>1.3636522205823158</v>
      </c>
      <c r="AM34" s="55">
        <f t="shared" si="30"/>
        <v>1.540762331838565</v>
      </c>
      <c r="AN34" s="55">
        <f t="shared" si="31"/>
        <v>2.2919541323690349</v>
      </c>
      <c r="AO34" s="61" t="s">
        <v>57</v>
      </c>
      <c r="AP34" s="55">
        <f>'31.12.2018'!O34+'31.12.2018'!Q34</f>
        <v>2.08</v>
      </c>
      <c r="AQ34" s="55">
        <f>'31.12.2018'!P34+'31.12.2018'!R34</f>
        <v>4.84</v>
      </c>
    </row>
    <row r="35" spans="1:43" s="15" customFormat="1" x14ac:dyDescent="0.25">
      <c r="A35" s="67" t="s">
        <v>92</v>
      </c>
      <c r="B35" s="65">
        <v>6860</v>
      </c>
      <c r="C35" s="65">
        <v>2735</v>
      </c>
      <c r="D35" s="65">
        <v>0</v>
      </c>
      <c r="E35" s="65">
        <v>6832</v>
      </c>
      <c r="F35" s="65">
        <v>5116</v>
      </c>
      <c r="G35" s="65">
        <v>0</v>
      </c>
      <c r="H35" s="65">
        <v>10903</v>
      </c>
      <c r="I35" s="65">
        <v>0.95</v>
      </c>
      <c r="J35" s="65">
        <v>2.3199999999999998</v>
      </c>
      <c r="K35" s="65">
        <v>0.78</v>
      </c>
      <c r="L35" s="65">
        <v>1.72</v>
      </c>
      <c r="M35" s="65">
        <v>1.1399999999999999</v>
      </c>
      <c r="N35" s="65">
        <v>2.78</v>
      </c>
      <c r="O35" s="65">
        <v>0.94</v>
      </c>
      <c r="P35" s="65">
        <v>2.06</v>
      </c>
      <c r="Q35" s="65">
        <v>6517</v>
      </c>
      <c r="R35" s="65">
        <v>5806</v>
      </c>
      <c r="S35" s="65">
        <v>0</v>
      </c>
      <c r="T35" s="65">
        <v>5329</v>
      </c>
      <c r="U35" s="65">
        <v>7493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f t="shared" si="32"/>
        <v>0</v>
      </c>
      <c r="AD35" s="65">
        <f t="shared" si="33"/>
        <v>0</v>
      </c>
      <c r="AE35" s="65">
        <f t="shared" si="34"/>
        <v>0</v>
      </c>
      <c r="AF35" s="65">
        <f t="shared" si="35"/>
        <v>0</v>
      </c>
      <c r="AG35" s="53">
        <f t="shared" si="2"/>
        <v>0.95</v>
      </c>
      <c r="AH35" s="53">
        <f t="shared" si="3"/>
        <v>0.78</v>
      </c>
      <c r="AI35" s="55">
        <f t="shared" si="6"/>
        <v>1.1399999999999999</v>
      </c>
      <c r="AJ35" s="55">
        <f t="shared" si="6"/>
        <v>0.93599999999999994</v>
      </c>
      <c r="AK35" s="66">
        <f t="shared" si="28"/>
        <v>0.95</v>
      </c>
      <c r="AL35" s="66">
        <f t="shared" si="29"/>
        <v>0.78000585480093676</v>
      </c>
      <c r="AM35" s="66">
        <f t="shared" si="30"/>
        <v>2.122851919561243</v>
      </c>
      <c r="AN35" s="66">
        <f t="shared" si="31"/>
        <v>1.4646207974980454</v>
      </c>
      <c r="AO35" s="61" t="s">
        <v>58</v>
      </c>
      <c r="AP35" s="55">
        <f>'31.12.2018'!O35+'31.12.2018'!Q35</f>
        <v>2.496</v>
      </c>
      <c r="AQ35" s="55">
        <f>'31.12.2018'!P35+'31.12.2018'!R35</f>
        <v>2.9039999999999999</v>
      </c>
    </row>
    <row r="36" spans="1:43" x14ac:dyDescent="0.25">
      <c r="A36" s="40" t="s">
        <v>58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32"/>
        <v>0</v>
      </c>
      <c r="AD36" s="53">
        <f t="shared" si="33"/>
        <v>0</v>
      </c>
      <c r="AE36" s="53">
        <f t="shared" si="34"/>
        <v>0</v>
      </c>
      <c r="AF36" s="53">
        <f t="shared" si="35"/>
        <v>0</v>
      </c>
      <c r="AG36" s="53">
        <f t="shared" si="2"/>
        <v>0.89</v>
      </c>
      <c r="AH36" s="53">
        <f t="shared" si="3"/>
        <v>1.1299999999999999</v>
      </c>
      <c r="AI36" s="55">
        <f t="shared" si="6"/>
        <v>1.0680000000000001</v>
      </c>
      <c r="AJ36" s="55">
        <f t="shared" si="6"/>
        <v>1.3559999999999999</v>
      </c>
      <c r="AK36" s="55">
        <f t="shared" si="28"/>
        <v>0.89198693402935159</v>
      </c>
      <c r="AL36" s="55">
        <f t="shared" si="29"/>
        <v>1.125046284051838</v>
      </c>
      <c r="AM36" s="55">
        <f t="shared" si="30"/>
        <v>1.0499937382592361</v>
      </c>
      <c r="AN36" s="55">
        <f t="shared" si="31"/>
        <v>1.3250159948816378</v>
      </c>
      <c r="AO36" s="61" t="s">
        <v>59</v>
      </c>
      <c r="AP36" s="55">
        <f>'31.12.2018'!O36+'31.12.2018'!Q36</f>
        <v>2.0350000000000001</v>
      </c>
      <c r="AQ36" s="55">
        <f>'31.12.2018'!P36+'31.12.2018'!R36</f>
        <v>2.0350000000000001</v>
      </c>
    </row>
    <row r="37" spans="1:43" x14ac:dyDescent="0.25">
      <c r="A37" s="40" t="s">
        <v>59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32"/>
        <v>0</v>
      </c>
      <c r="AD37" s="53">
        <f t="shared" si="33"/>
        <v>0</v>
      </c>
      <c r="AE37" s="53">
        <f t="shared" si="34"/>
        <v>0</v>
      </c>
      <c r="AF37" s="53">
        <f t="shared" si="35"/>
        <v>0</v>
      </c>
      <c r="AG37" s="53">
        <f t="shared" si="2"/>
        <v>0.57999999999999996</v>
      </c>
      <c r="AH37" s="53">
        <f t="shared" si="3"/>
        <v>1</v>
      </c>
      <c r="AI37" s="55">
        <f t="shared" si="6"/>
        <v>0.69599999999999995</v>
      </c>
      <c r="AJ37" s="55">
        <f t="shared" si="6"/>
        <v>1.2</v>
      </c>
      <c r="AK37" s="55">
        <f t="shared" si="28"/>
        <v>0.58041581642691309</v>
      </c>
      <c r="AL37" s="55">
        <f t="shared" si="29"/>
        <v>1.0000077174352295</v>
      </c>
      <c r="AM37" s="55">
        <f t="shared" si="30"/>
        <v>0.58043368497948133</v>
      </c>
      <c r="AN37" s="55">
        <f t="shared" si="31"/>
        <v>1.3255250168251249</v>
      </c>
      <c r="AO37" s="61" t="s">
        <v>60</v>
      </c>
      <c r="AP37" s="55">
        <f>'31.12.2018'!O37+'31.12.2018'!Q37</f>
        <v>3.7559999999999998</v>
      </c>
      <c r="AQ37" s="55">
        <f>'31.12.2018'!P37+'31.12.2018'!R37</f>
        <v>3.7559999999999998</v>
      </c>
    </row>
    <row r="38" spans="1:43" x14ac:dyDescent="0.25">
      <c r="A38" s="40" t="s">
        <v>93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32"/>
        <v>0</v>
      </c>
      <c r="AD38" s="53">
        <f t="shared" si="33"/>
        <v>0</v>
      </c>
      <c r="AE38" s="53">
        <f t="shared" si="34"/>
        <v>0</v>
      </c>
      <c r="AF38" s="53">
        <f t="shared" si="35"/>
        <v>0</v>
      </c>
      <c r="AG38" s="53">
        <f t="shared" si="2"/>
        <v>0.80400000000000005</v>
      </c>
      <c r="AH38" s="53">
        <f t="shared" si="3"/>
        <v>0.90300000000000002</v>
      </c>
      <c r="AI38" s="55">
        <f t="shared" si="6"/>
        <v>0.96479999999999999</v>
      </c>
      <c r="AJ38" s="55">
        <f t="shared" si="6"/>
        <v>1.0835999999999999</v>
      </c>
      <c r="AK38" s="55">
        <f t="shared" si="28"/>
        <v>0.79768577372009708</v>
      </c>
      <c r="AL38" s="55">
        <f t="shared" si="29"/>
        <v>0.90181023221093604</v>
      </c>
      <c r="AM38" s="55">
        <f t="shared" si="30"/>
        <v>0.95315272684254126</v>
      </c>
      <c r="AN38" s="55">
        <f t="shared" si="31"/>
        <v>1.0535346012832263</v>
      </c>
      <c r="AO38" s="61" t="s">
        <v>61</v>
      </c>
      <c r="AP38" s="55">
        <f>'31.12.2018'!O38+'31.12.2018'!Q38</f>
        <v>2.9929999999999999</v>
      </c>
      <c r="AQ38" s="55">
        <f>'31.12.2018'!P38+'31.12.2018'!R38</f>
        <v>3.258</v>
      </c>
    </row>
    <row r="39" spans="1:43" x14ac:dyDescent="0.25">
      <c r="A39" s="40" t="s">
        <v>94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32"/>
        <v>0</v>
      </c>
      <c r="AD39" s="53">
        <f t="shared" si="33"/>
        <v>0</v>
      </c>
      <c r="AE39" s="53">
        <f t="shared" si="34"/>
        <v>0</v>
      </c>
      <c r="AF39" s="53">
        <f t="shared" si="35"/>
        <v>0</v>
      </c>
      <c r="AG39" s="53">
        <f t="shared" si="2"/>
        <v>1.01</v>
      </c>
      <c r="AH39" s="53">
        <f t="shared" si="3"/>
        <v>1.18</v>
      </c>
      <c r="AI39" s="55">
        <f t="shared" si="6"/>
        <v>1.212</v>
      </c>
      <c r="AJ39" s="55">
        <f t="shared" si="6"/>
        <v>1.4159999999999999</v>
      </c>
      <c r="AK39" s="55">
        <f t="shared" si="28"/>
        <v>1.0076549220165065</v>
      </c>
      <c r="AL39" s="55">
        <f t="shared" si="29"/>
        <v>1.1770239741039215</v>
      </c>
      <c r="AM39" s="55">
        <f t="shared" si="30"/>
        <v>1.0085282298863867</v>
      </c>
      <c r="AN39" s="55">
        <f t="shared" si="31"/>
        <v>1.1675336016402156</v>
      </c>
      <c r="AO39" s="61" t="s">
        <v>62</v>
      </c>
      <c r="AP39" s="55">
        <f>'31.12.2018'!O39+'31.12.2018'!Q39</f>
        <v>3.137</v>
      </c>
      <c r="AQ39" s="55">
        <f>'31.12.2018'!P39+'31.12.2018'!R39</f>
        <v>3.1890000000000001</v>
      </c>
    </row>
    <row r="40" spans="1:43" x14ac:dyDescent="0.25">
      <c r="A40" s="40" t="s">
        <v>95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36">W40/B40</f>
        <v>0</v>
      </c>
      <c r="AD40" s="53">
        <f t="shared" ref="AD40" si="37">Z40/E40</f>
        <v>0</v>
      </c>
      <c r="AE40" s="53">
        <f t="shared" ref="AE40" si="38">(X40+Y40)/(C40+D40)</f>
        <v>0</v>
      </c>
      <c r="AF40" s="53">
        <f t="shared" ref="AF40" si="39">(AA40+AB40)/(F40+G40)</f>
        <v>0</v>
      </c>
      <c r="AG40" s="53">
        <f t="shared" ref="AG40" si="40">I40+AC40</f>
        <v>0.77</v>
      </c>
      <c r="AH40" s="53">
        <f t="shared" ref="AH40" si="41">K40+AD40</f>
        <v>0.95</v>
      </c>
      <c r="AI40" s="55">
        <f t="shared" ref="AI40" si="42">AG40*1.2</f>
        <v>0.92399999999999993</v>
      </c>
      <c r="AJ40" s="55">
        <f t="shared" ref="AJ40" si="43">AH40*1.2</f>
        <v>1.1399999999999999</v>
      </c>
      <c r="AK40" s="55">
        <f t="shared" ref="AK40" si="44">(Q40+W40)/B40</f>
        <v>0.7730582524271844</v>
      </c>
      <c r="AL40" s="55">
        <f t="shared" ref="AL40" si="45">(T40+Z40)/E40</f>
        <v>0.9519913367825773</v>
      </c>
      <c r="AM40" s="55">
        <f t="shared" ref="AM40" si="46">(R40+X40)/C40</f>
        <v>0.77325056433408579</v>
      </c>
      <c r="AN40" s="55">
        <f t="shared" ref="AN40" si="47">(U40+V40+AA40+AB40)/(F40+G40)</f>
        <v>0.95197535338890904</v>
      </c>
      <c r="AO40" s="61" t="s">
        <v>63</v>
      </c>
      <c r="AP40" s="55">
        <f>'31.12.2018'!O40+'31.12.2018'!Q40</f>
        <v>3.3529999999999998</v>
      </c>
      <c r="AQ40" s="55">
        <f>'31.12.2018'!P40+'31.12.2018'!R40</f>
        <v>3.3529999999999998</v>
      </c>
    </row>
    <row r="41" spans="1:43" s="15" customFormat="1" x14ac:dyDescent="0.25">
      <c r="A41" s="67" t="s">
        <v>64</v>
      </c>
      <c r="B41" s="65">
        <v>274.10300000000001</v>
      </c>
      <c r="C41" s="65">
        <v>56.46</v>
      </c>
      <c r="D41" s="65">
        <v>0</v>
      </c>
      <c r="E41" s="65">
        <v>267.08100000000002</v>
      </c>
      <c r="F41" s="65">
        <v>65.215000000000003</v>
      </c>
      <c r="G41" s="65">
        <v>0</v>
      </c>
      <c r="H41" s="65"/>
      <c r="I41" s="65">
        <v>1.25</v>
      </c>
      <c r="J41" s="65">
        <v>1.47</v>
      </c>
      <c r="K41" s="65">
        <v>1.95</v>
      </c>
      <c r="L41" s="65">
        <v>2.2000000000000002</v>
      </c>
      <c r="M41" s="65">
        <v>1.5</v>
      </c>
      <c r="N41" s="65">
        <v>1.76</v>
      </c>
      <c r="O41" s="65">
        <v>2.34</v>
      </c>
      <c r="P41" s="65">
        <v>2.64</v>
      </c>
      <c r="Q41" s="65">
        <v>343.35399999999998</v>
      </c>
      <c r="R41" s="65">
        <v>92.013000000000005</v>
      </c>
      <c r="S41" s="65">
        <v>0</v>
      </c>
      <c r="T41" s="65">
        <v>495.00299999999999</v>
      </c>
      <c r="U41" s="65">
        <v>120.42400000000001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f t="shared" si="32"/>
        <v>0</v>
      </c>
      <c r="AD41" s="65">
        <f t="shared" si="33"/>
        <v>0</v>
      </c>
      <c r="AE41" s="65">
        <f t="shared" si="34"/>
        <v>0</v>
      </c>
      <c r="AF41" s="65">
        <f t="shared" si="35"/>
        <v>0</v>
      </c>
      <c r="AG41" s="53">
        <f t="shared" si="2"/>
        <v>1.25</v>
      </c>
      <c r="AH41" s="53">
        <f t="shared" si="3"/>
        <v>1.95</v>
      </c>
      <c r="AI41" s="55">
        <f t="shared" si="6"/>
        <v>1.5</v>
      </c>
      <c r="AJ41" s="55">
        <f t="shared" si="6"/>
        <v>2.34</v>
      </c>
      <c r="AK41" s="66">
        <f t="shared" si="28"/>
        <v>1.2526459031823802</v>
      </c>
      <c r="AL41" s="66">
        <f t="shared" si="29"/>
        <v>1.8533815584036302</v>
      </c>
      <c r="AM41" s="66">
        <f t="shared" si="30"/>
        <v>1.629702444208289</v>
      </c>
      <c r="AN41" s="66">
        <f t="shared" si="31"/>
        <v>1.8465690408648316</v>
      </c>
      <c r="AO41" s="61" t="s">
        <v>64</v>
      </c>
      <c r="AP41" s="55">
        <f>'31.12.2018'!O41+'31.12.2018'!Q41</f>
        <v>3.84</v>
      </c>
      <c r="AQ41" s="55">
        <f>'31.12.2018'!P41+'31.12.2018'!R41</f>
        <v>4.4000000000000004</v>
      </c>
    </row>
    <row r="42" spans="1:43" x14ac:dyDescent="0.25">
      <c r="A42" s="40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32"/>
        <v>0</v>
      </c>
      <c r="AD42" s="53">
        <f t="shared" si="33"/>
        <v>0</v>
      </c>
      <c r="AE42" s="53">
        <f t="shared" si="34"/>
        <v>0</v>
      </c>
      <c r="AF42" s="53">
        <f t="shared" si="35"/>
        <v>0</v>
      </c>
      <c r="AG42" s="53">
        <f t="shared" si="2"/>
        <v>0.77</v>
      </c>
      <c r="AH42" s="53">
        <f t="shared" si="3"/>
        <v>0.99</v>
      </c>
      <c r="AI42" s="55">
        <f t="shared" si="6"/>
        <v>0.92399999999999993</v>
      </c>
      <c r="AJ42" s="55">
        <f t="shared" si="6"/>
        <v>1.1879999999999999</v>
      </c>
      <c r="AK42" s="55">
        <f t="shared" si="28"/>
        <v>0.75755637294098832</v>
      </c>
      <c r="AL42" s="55">
        <f t="shared" si="29"/>
        <v>0.97603269856618735</v>
      </c>
      <c r="AM42" s="55">
        <f t="shared" si="30"/>
        <v>0.76044728434504794</v>
      </c>
      <c r="AN42" s="55">
        <f t="shared" si="31"/>
        <v>1.2926315444776151</v>
      </c>
      <c r="AO42" s="61" t="s">
        <v>65</v>
      </c>
      <c r="AP42" s="55">
        <f>'31.12.2018'!O42+'31.12.2018'!Q42</f>
        <v>2.2200000000000002</v>
      </c>
      <c r="AQ42" s="55">
        <f>'31.12.2018'!P42+'31.12.2018'!R42</f>
        <v>2.2200000000000002</v>
      </c>
    </row>
    <row r="43" spans="1:43" x14ac:dyDescent="0.25">
      <c r="A43" s="40" t="s">
        <v>65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48">W43/B43</f>
        <v>0</v>
      </c>
      <c r="AD43" s="53">
        <f t="shared" ref="AD43" si="49">Z43/E43</f>
        <v>0</v>
      </c>
      <c r="AE43" s="53">
        <f t="shared" ref="AE43" si="50">(X43+Y43)/(C43+D43)</f>
        <v>0</v>
      </c>
      <c r="AF43" s="53">
        <f t="shared" ref="AF43" si="51">(AA43+AB43)/(F43+G43)</f>
        <v>0</v>
      </c>
      <c r="AG43" s="53">
        <f t="shared" ref="AG43" si="52">I43+AC43</f>
        <v>0.77</v>
      </c>
      <c r="AH43" s="53">
        <f t="shared" ref="AH43" si="53">K43+AD43</f>
        <v>0.99</v>
      </c>
      <c r="AI43" s="55">
        <f t="shared" ref="AI43" si="54">AG43*1.2</f>
        <v>0.92399999999999993</v>
      </c>
      <c r="AJ43" s="55">
        <f t="shared" ref="AJ43" si="55">AH43*1.2</f>
        <v>1.1879999999999999</v>
      </c>
      <c r="AK43" s="55">
        <f t="shared" ref="AK43" si="56">(Q43+W43)/B43</f>
        <v>0.75755637294098832</v>
      </c>
      <c r="AL43" s="55">
        <f t="shared" ref="AL43" si="57">(T43+Z43)/E43</f>
        <v>0.97603269856618735</v>
      </c>
      <c r="AM43" s="55">
        <f t="shared" ref="AM43" si="58">(R43+X43)/C43</f>
        <v>0.76044728434504794</v>
      </c>
      <c r="AN43" s="55">
        <f t="shared" ref="AN43" si="59">(U43+V43+AA43+AB43)/(F43+G43)</f>
        <v>1.2926315444776151</v>
      </c>
      <c r="AO43" s="61" t="s">
        <v>66</v>
      </c>
      <c r="AP43" s="55">
        <f>'31.12.2018'!O43+'31.12.2018'!Q43</f>
        <v>3</v>
      </c>
      <c r="AQ43" s="55">
        <f>'31.12.2018'!P43+'31.12.2018'!R43</f>
        <v>3</v>
      </c>
    </row>
    <row r="44" spans="1:43" x14ac:dyDescent="0.25">
      <c r="A44" s="40" t="s">
        <v>65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60">W44/B44</f>
        <v>0</v>
      </c>
      <c r="AD44" s="53">
        <f t="shared" ref="AD44" si="61">Z44/E44</f>
        <v>0</v>
      </c>
      <c r="AE44" s="53">
        <f t="shared" ref="AE44" si="62">(X44+Y44)/(C44+D44)</f>
        <v>0</v>
      </c>
      <c r="AF44" s="53">
        <f t="shared" ref="AF44" si="63">(AA44+AB44)/(F44+G44)</f>
        <v>0</v>
      </c>
      <c r="AG44" s="53">
        <f t="shared" ref="AG44" si="64">I44+AC44</f>
        <v>0.77</v>
      </c>
      <c r="AH44" s="53">
        <f t="shared" ref="AH44" si="65">K44+AD44</f>
        <v>0.99</v>
      </c>
      <c r="AI44" s="55">
        <f t="shared" ref="AI44" si="66">AG44*1.2</f>
        <v>0.92399999999999993</v>
      </c>
      <c r="AJ44" s="55">
        <f t="shared" ref="AJ44" si="67">AH44*1.2</f>
        <v>1.1879999999999999</v>
      </c>
      <c r="AK44" s="55">
        <f t="shared" ref="AK44" si="68">(Q44+W44)/B44</f>
        <v>0.75755637294098832</v>
      </c>
      <c r="AL44" s="55">
        <f t="shared" ref="AL44" si="69">(T44+Z44)/E44</f>
        <v>0.97603269856618735</v>
      </c>
      <c r="AM44" s="55">
        <f t="shared" ref="AM44" si="70">(R44+X44)/C44</f>
        <v>0.76044728434504794</v>
      </c>
      <c r="AN44" s="55">
        <f t="shared" ref="AN44" si="71">(U44+V44+AA44+AB44)/(F44+G44)</f>
        <v>1.2926315444776151</v>
      </c>
      <c r="AO44" s="61" t="s">
        <v>67</v>
      </c>
      <c r="AP44" s="55">
        <f>'31.12.2018'!O44+'31.12.2018'!Q44</f>
        <v>3.024</v>
      </c>
      <c r="AQ44" s="55">
        <f>'31.12.2018'!P44+'31.12.2018'!R44</f>
        <v>3.024</v>
      </c>
    </row>
    <row r="45" spans="1:43" x14ac:dyDescent="0.25">
      <c r="AO45" s="4" t="s">
        <v>72</v>
      </c>
      <c r="AP45" s="6">
        <f>SUM(AP4:AP44)/41</f>
        <v>3.1568467368352082</v>
      </c>
      <c r="AQ45" s="6">
        <f>SUM(AQ4:AQ44)/41</f>
        <v>3.4539871746202229</v>
      </c>
    </row>
    <row r="46" spans="1:43" x14ac:dyDescent="0.25">
      <c r="A46" s="4" t="s">
        <v>68</v>
      </c>
      <c r="AO46" s="4" t="s">
        <v>68</v>
      </c>
    </row>
    <row r="47" spans="1:43" x14ac:dyDescent="0.25">
      <c r="A47" s="4" t="s">
        <v>69</v>
      </c>
      <c r="AO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44"/>
  <sheetViews>
    <sheetView zoomScaleNormal="100" workbookViewId="0">
      <pane xSplit="1" ySplit="3" topLeftCell="AP16" activePane="bottomRight" state="frozen"/>
      <selection pane="topRight" activeCell="B1" sqref="B1"/>
      <selection pane="bottomLeft" activeCell="A4" sqref="A4"/>
      <selection pane="bottomRight" activeCell="A41" sqref="A41:XFD42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 t="s">
        <v>3</v>
      </c>
      <c r="AL1" s="12"/>
      <c r="AM1" s="12"/>
      <c r="AN1" s="13"/>
      <c r="AO1" s="23" t="s">
        <v>96</v>
      </c>
      <c r="AP1" s="23" t="s">
        <v>97</v>
      </c>
    </row>
    <row r="2" spans="1:42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2"/>
      <c r="AP2" s="22"/>
    </row>
    <row r="3" spans="1:42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7" t="s">
        <v>25</v>
      </c>
      <c r="AH3" s="17" t="s">
        <v>26</v>
      </c>
      <c r="AI3" s="17" t="s">
        <v>25</v>
      </c>
      <c r="AJ3" s="17" t="s">
        <v>26</v>
      </c>
      <c r="AK3" s="14" t="s">
        <v>25</v>
      </c>
      <c r="AL3" s="14" t="s">
        <v>26</v>
      </c>
      <c r="AM3" s="14" t="s">
        <v>25</v>
      </c>
      <c r="AN3" s="14" t="s">
        <v>26</v>
      </c>
      <c r="AO3" s="24"/>
      <c r="AP3" s="24"/>
    </row>
    <row r="4" spans="1:42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AG4*1.2</f>
        <v>1.5966243871200145</v>
      </c>
      <c r="AJ4" s="55">
        <f>AH4*1.2</f>
        <v>2.6166226041577465</v>
      </c>
      <c r="AK4" s="55">
        <f t="shared" ref="AK4:AK25" si="0">(Q4+W4)/B4</f>
        <v>1.3378944945866438</v>
      </c>
      <c r="AL4" s="55">
        <f t="shared" ref="AL4:AL25" si="1">(T4+Z4)/E4</f>
        <v>2.1815022088343299</v>
      </c>
      <c r="AM4" s="55">
        <f t="shared" ref="AM4:AM25" si="2">(R4+X4)/C4</f>
        <v>2.0532136351808479</v>
      </c>
      <c r="AN4" s="55">
        <f t="shared" ref="AN4:AN25" si="3">(U4+V4+AA4+AB4)/(F4+G4)</f>
        <v>3.0793226931744515</v>
      </c>
      <c r="AO4" s="55">
        <f>'31.12.2018'!AM4+'31.12.2018'!AN4</f>
        <v>2.9014416501408782</v>
      </c>
      <c r="AP4" s="55">
        <f>'31.12.2018'!AO4+'31.12.2018'!AP4</f>
        <v>3.0692341386892203</v>
      </c>
    </row>
    <row r="5" spans="1:42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3">
        <f t="shared" ref="AG5:AG42" si="8">I5+AC5</f>
        <v>0.9</v>
      </c>
      <c r="AH5" s="53">
        <f t="shared" ref="AH5:AH42" si="9">K5+AD5</f>
        <v>1.0900000000000001</v>
      </c>
      <c r="AI5" s="55">
        <f t="shared" ref="AI5:AJ42" si="10">AG5*1.2</f>
        <v>1.08</v>
      </c>
      <c r="AJ5" s="55">
        <f t="shared" si="10"/>
        <v>1.3080000000000001</v>
      </c>
      <c r="AK5" s="55">
        <f t="shared" si="0"/>
        <v>0.83448706250065552</v>
      </c>
      <c r="AL5" s="55">
        <f t="shared" si="1"/>
        <v>1.0513394445204542</v>
      </c>
      <c r="AM5" s="55">
        <f t="shared" si="2"/>
        <v>0.77812921961415382</v>
      </c>
      <c r="AN5" s="55">
        <f t="shared" si="3"/>
        <v>1.2934140769794407</v>
      </c>
      <c r="AO5" s="55">
        <f>'31.12.2018'!AM5+'31.12.2018'!AN5</f>
        <v>2.7234140797750701</v>
      </c>
      <c r="AP5" s="55">
        <f>'31.12.2018'!AO5+'31.12.2018'!AP5</f>
        <v>2.8924340365853274</v>
      </c>
    </row>
    <row r="6" spans="1:42" s="15" customFormat="1" x14ac:dyDescent="0.25">
      <c r="A6" s="61" t="s">
        <v>29</v>
      </c>
      <c r="B6" s="65">
        <v>44.539000000000001</v>
      </c>
      <c r="C6" s="65">
        <v>0</v>
      </c>
      <c r="D6" s="65">
        <v>0</v>
      </c>
      <c r="E6" s="65">
        <v>43.347999999999999</v>
      </c>
      <c r="F6" s="65">
        <v>0</v>
      </c>
      <c r="G6" s="65">
        <v>0</v>
      </c>
      <c r="H6" s="65"/>
      <c r="I6" s="65">
        <v>0.73</v>
      </c>
      <c r="J6" s="65"/>
      <c r="K6" s="65">
        <v>0.59</v>
      </c>
      <c r="L6" s="65"/>
      <c r="M6" s="65">
        <v>0.88</v>
      </c>
      <c r="N6" s="65"/>
      <c r="O6" s="65">
        <v>0.71</v>
      </c>
      <c r="P6" s="65"/>
      <c r="Q6" s="65">
        <v>32.47</v>
      </c>
      <c r="R6" s="65"/>
      <c r="S6" s="65"/>
      <c r="T6" s="65">
        <v>25.533000000000001</v>
      </c>
      <c r="U6" s="65"/>
      <c r="V6" s="65"/>
      <c r="W6" s="65">
        <v>7.8680000000000003</v>
      </c>
      <c r="X6" s="65"/>
      <c r="Y6" s="65"/>
      <c r="Z6" s="65">
        <v>5.8470000000000004</v>
      </c>
      <c r="AA6" s="65"/>
      <c r="AB6" s="65"/>
      <c r="AC6" s="65">
        <f t="shared" si="4"/>
        <v>0.17665416825703317</v>
      </c>
      <c r="AD6" s="65">
        <f t="shared" si="5"/>
        <v>0.13488511580695767</v>
      </c>
      <c r="AE6" s="65"/>
      <c r="AF6" s="65"/>
      <c r="AG6" s="53">
        <f t="shared" si="8"/>
        <v>0.90665416825703316</v>
      </c>
      <c r="AH6" s="53">
        <f t="shared" si="9"/>
        <v>0.72488511580695758</v>
      </c>
      <c r="AI6" s="55">
        <f t="shared" si="10"/>
        <v>1.0879850019084398</v>
      </c>
      <c r="AJ6" s="55">
        <f t="shared" si="10"/>
        <v>0.86986213896834907</v>
      </c>
      <c r="AK6" s="66">
        <f t="shared" si="0"/>
        <v>0.90567816969397608</v>
      </c>
      <c r="AL6" s="66">
        <f t="shared" si="1"/>
        <v>0.72390883085724844</v>
      </c>
      <c r="AM6" s="66"/>
      <c r="AN6" s="66"/>
      <c r="AO6" s="55">
        <f>'31.12.2018'!AM6+'31.12.2018'!AN6</f>
        <v>1.5402501101531589</v>
      </c>
      <c r="AP6" s="55">
        <f>'31.12.2018'!AO6+'31.12.2018'!AP6</f>
        <v>0</v>
      </c>
    </row>
    <row r="7" spans="1:42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1">I7*1.2</f>
        <v>0.95910406086235145</v>
      </c>
      <c r="N7" s="55">
        <f t="shared" si="11"/>
        <v>0.96185727023546108</v>
      </c>
      <c r="O7" s="55">
        <f t="shared" si="11"/>
        <v>1.3192409751053764</v>
      </c>
      <c r="P7" s="55">
        <f t="shared" si="11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 t="shared" si="10"/>
        <v>0.95910406086235145</v>
      </c>
      <c r="AJ7" s="55">
        <f t="shared" si="10"/>
        <v>1.3192409751053764</v>
      </c>
      <c r="AK7" s="55">
        <f t="shared" si="0"/>
        <v>0.79925338405195956</v>
      </c>
      <c r="AL7" s="55">
        <f t="shared" si="1"/>
        <v>1.0993674792544803</v>
      </c>
      <c r="AM7" s="55">
        <f t="shared" si="2"/>
        <v>0.80154772519621764</v>
      </c>
      <c r="AN7" s="55">
        <f t="shared" si="3"/>
        <v>1.6965011825839753</v>
      </c>
      <c r="AO7" s="55">
        <f>'31.12.2018'!AM7+'31.12.2018'!AN7</f>
        <v>2.3429842567474455</v>
      </c>
      <c r="AP7" s="55">
        <f>'31.12.2018'!AO7+'31.12.2018'!AP7</f>
        <v>2.6050003608778987</v>
      </c>
    </row>
    <row r="8" spans="1:42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1"/>
        <v>0.95910406086235145</v>
      </c>
      <c r="N8" s="55">
        <f t="shared" si="11"/>
        <v>0.96185727023546108</v>
      </c>
      <c r="O8" s="55">
        <f t="shared" si="11"/>
        <v>1.3192409751053764</v>
      </c>
      <c r="P8" s="55">
        <f t="shared" si="11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2">W8/B8</f>
        <v>0</v>
      </c>
      <c r="AD8" s="53">
        <f t="shared" ref="AD8" si="13">Z8/E8</f>
        <v>0</v>
      </c>
      <c r="AE8" s="53">
        <f t="shared" ref="AE8" si="14">(X8+Y8)/(C8+D8)</f>
        <v>0</v>
      </c>
      <c r="AF8" s="53">
        <f t="shared" ref="AF8" si="15">(AA8+AB8)/(F8+G8)</f>
        <v>0</v>
      </c>
      <c r="AG8" s="53">
        <f t="shared" ref="AG8" si="16">I8+AC8</f>
        <v>0.79925338405195956</v>
      </c>
      <c r="AH8" s="53">
        <f t="shared" ref="AH8" si="17">K8+AD8</f>
        <v>1.0993674792544803</v>
      </c>
      <c r="AI8" s="55">
        <f t="shared" ref="AI8" si="18">AG8*1.2</f>
        <v>0.95910406086235145</v>
      </c>
      <c r="AJ8" s="55">
        <f t="shared" ref="AJ8" si="19">AH8*1.2</f>
        <v>1.3192409751053764</v>
      </c>
      <c r="AK8" s="55">
        <f t="shared" ref="AK8" si="20">(Q8+W8)/B8</f>
        <v>0.79925338405195956</v>
      </c>
      <c r="AL8" s="55">
        <f t="shared" ref="AL8" si="21">(T8+Z8)/E8</f>
        <v>1.0993674792544803</v>
      </c>
      <c r="AM8" s="55">
        <f t="shared" ref="AM8" si="22">(R8+X8)/C8</f>
        <v>0.80154772519621764</v>
      </c>
      <c r="AN8" s="55">
        <f t="shared" ref="AN8" si="23">(U8+V8+AA8+AB8)/(F8+G8)</f>
        <v>1.6965011825839753</v>
      </c>
      <c r="AO8" s="55">
        <f>'31.12.2018'!AM8+'31.12.2018'!AN8</f>
        <v>2.8533550340605469</v>
      </c>
      <c r="AP8" s="55">
        <f>'31.12.2018'!AO8+'31.12.2018'!AP8</f>
        <v>2.6513214837469419</v>
      </c>
    </row>
    <row r="9" spans="1:42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 t="shared" si="10"/>
        <v>1.056</v>
      </c>
      <c r="AJ9" s="55">
        <f t="shared" si="10"/>
        <v>1.56</v>
      </c>
      <c r="AK9" s="55">
        <f t="shared" si="0"/>
        <v>0.88003251834997398</v>
      </c>
      <c r="AL9" s="55">
        <f t="shared" si="1"/>
        <v>1.2995790594155217</v>
      </c>
      <c r="AM9" s="55">
        <f t="shared" si="2"/>
        <v>1.0519376194565246</v>
      </c>
      <c r="AN9" s="55">
        <f t="shared" si="3"/>
        <v>1.5630771489392941</v>
      </c>
      <c r="AO9" s="55">
        <f>'31.12.2018'!AM9+'31.12.2018'!AN9</f>
        <v>3.1871151590014701</v>
      </c>
      <c r="AP9" s="55">
        <f>'31.12.2018'!AO9+'31.12.2018'!AP9</f>
        <v>3.2237032081130534</v>
      </c>
    </row>
    <row r="10" spans="1:42" s="15" customFormat="1" x14ac:dyDescent="0.25">
      <c r="A10" s="61" t="s">
        <v>33</v>
      </c>
      <c r="B10" s="65">
        <v>12.874000000000001</v>
      </c>
      <c r="C10" s="65">
        <v>3.2320000000000002</v>
      </c>
      <c r="D10" s="65">
        <v>0</v>
      </c>
      <c r="E10" s="65">
        <v>12.874000000000001</v>
      </c>
      <c r="F10" s="65">
        <v>3.2320000000000002</v>
      </c>
      <c r="G10" s="65">
        <v>0</v>
      </c>
      <c r="H10" s="65">
        <v>44.454999999999998</v>
      </c>
      <c r="I10" s="65">
        <v>0.95</v>
      </c>
      <c r="J10" s="65">
        <v>0.95</v>
      </c>
      <c r="K10" s="65">
        <v>1.1299999999999999</v>
      </c>
      <c r="L10" s="65">
        <v>1.1299999999999999</v>
      </c>
      <c r="M10" s="65">
        <v>1.1399999999999999</v>
      </c>
      <c r="N10" s="65">
        <v>1.1399999999999999</v>
      </c>
      <c r="O10" s="65">
        <v>1.36</v>
      </c>
      <c r="P10" s="65">
        <v>1.36</v>
      </c>
      <c r="Q10" s="65">
        <v>9.3949999999999996</v>
      </c>
      <c r="R10" s="65">
        <v>2.911</v>
      </c>
      <c r="S10" s="65">
        <v>0</v>
      </c>
      <c r="T10" s="65">
        <v>15.593999999999999</v>
      </c>
      <c r="U10" s="65">
        <v>3.556</v>
      </c>
      <c r="V10" s="65">
        <v>9.2550000000000008</v>
      </c>
      <c r="W10" s="65"/>
      <c r="X10" s="65"/>
      <c r="Y10" s="65"/>
      <c r="Z10" s="65"/>
      <c r="AA10" s="65"/>
      <c r="AB10" s="65"/>
      <c r="AC10" s="65">
        <f t="shared" si="4"/>
        <v>0</v>
      </c>
      <c r="AD10" s="65">
        <f t="shared" si="5"/>
        <v>0</v>
      </c>
      <c r="AE10" s="65">
        <f t="shared" si="6"/>
        <v>0</v>
      </c>
      <c r="AF10" s="65">
        <f t="shared" si="7"/>
        <v>0</v>
      </c>
      <c r="AG10" s="53">
        <f t="shared" si="8"/>
        <v>0.95</v>
      </c>
      <c r="AH10" s="53">
        <f t="shared" si="9"/>
        <v>1.1299999999999999</v>
      </c>
      <c r="AI10" s="55">
        <f t="shared" si="10"/>
        <v>1.1399999999999999</v>
      </c>
      <c r="AJ10" s="55">
        <f t="shared" si="10"/>
        <v>1.3559999999999999</v>
      </c>
      <c r="AK10" s="66">
        <f t="shared" si="0"/>
        <v>0.72976541867329492</v>
      </c>
      <c r="AL10" s="66">
        <f t="shared" si="1"/>
        <v>1.2112785459064781</v>
      </c>
      <c r="AM10" s="66">
        <f t="shared" si="2"/>
        <v>0.90068069306930687</v>
      </c>
      <c r="AN10" s="66">
        <f t="shared" si="3"/>
        <v>3.9637995049504946</v>
      </c>
      <c r="AO10" s="55">
        <f>'31.12.2018'!AM10+'31.12.2018'!AN10</f>
        <v>2.077514328015972</v>
      </c>
      <c r="AP10" s="55">
        <f>'31.12.2018'!AO10+'31.12.2018'!AP10</f>
        <v>2.0775044991001796</v>
      </c>
    </row>
    <row r="11" spans="1:42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1.0967769959169489E-2</v>
      </c>
      <c r="AD11" s="53">
        <f t="shared" si="5"/>
        <v>0</v>
      </c>
      <c r="AE11" s="53">
        <f t="shared" si="6"/>
        <v>0.10334020974245813</v>
      </c>
      <c r="AF11" s="53">
        <f t="shared" si="7"/>
        <v>0</v>
      </c>
      <c r="AG11" s="53">
        <f t="shared" si="8"/>
        <v>0.62096776995916947</v>
      </c>
      <c r="AH11" s="53">
        <f t="shared" si="9"/>
        <v>0.8</v>
      </c>
      <c r="AI11" s="55">
        <f t="shared" si="10"/>
        <v>0.74516132395100332</v>
      </c>
      <c r="AJ11" s="55">
        <f t="shared" si="10"/>
        <v>0.96</v>
      </c>
      <c r="AK11" s="55">
        <f t="shared" si="0"/>
        <v>0.61889388411085056</v>
      </c>
      <c r="AL11" s="55">
        <f t="shared" si="1"/>
        <v>0.79558602983379723</v>
      </c>
      <c r="AM11" s="55">
        <f t="shared" si="2"/>
        <v>0.81573140314685566</v>
      </c>
      <c r="AN11" s="55">
        <f t="shared" si="3"/>
        <v>0.84199271802577591</v>
      </c>
      <c r="AO11" s="55">
        <f>'31.12.2018'!AM11+'31.12.2018'!AN11</f>
        <v>1.9431625140146114</v>
      </c>
      <c r="AP11" s="55">
        <f>'31.12.2018'!AO11+'31.12.2018'!AP11</f>
        <v>2.2965008791922972</v>
      </c>
    </row>
    <row r="12" spans="1:42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29.277999999999999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3">
        <f t="shared" si="8"/>
        <v>0.98</v>
      </c>
      <c r="AH12" s="53">
        <f t="shared" si="9"/>
        <v>1.3</v>
      </c>
      <c r="AI12" s="55">
        <f t="shared" si="10"/>
        <v>1.1759999999999999</v>
      </c>
      <c r="AJ12" s="55">
        <f t="shared" si="10"/>
        <v>1.56</v>
      </c>
      <c r="AK12" s="55">
        <f t="shared" si="0"/>
        <v>0.97989817704056492</v>
      </c>
      <c r="AL12" s="55">
        <f t="shared" si="1"/>
        <v>1.299988393108823</v>
      </c>
      <c r="AM12" s="55">
        <f t="shared" si="2"/>
        <v>0.98074142916150364</v>
      </c>
      <c r="AN12" s="55">
        <f t="shared" si="3"/>
        <v>1.2678339818417639</v>
      </c>
      <c r="AO12" s="55">
        <f>'31.12.2018'!AM12+'31.12.2018'!AN12</f>
        <v>2.9406919356997898</v>
      </c>
      <c r="AP12" s="55">
        <f>'31.12.2018'!AO12+'31.12.2018'!AP12</f>
        <v>2.8643049344367548</v>
      </c>
    </row>
    <row r="13" spans="1:42" s="15" customFormat="1" x14ac:dyDescent="0.25">
      <c r="A13" s="61" t="s">
        <v>36</v>
      </c>
      <c r="B13" s="65">
        <v>36.872999999999998</v>
      </c>
      <c r="C13" s="65">
        <v>11.788</v>
      </c>
      <c r="D13" s="65">
        <v>0</v>
      </c>
      <c r="E13" s="65">
        <v>36.313000000000002</v>
      </c>
      <c r="F13" s="65">
        <v>7.87</v>
      </c>
      <c r="G13" s="65">
        <v>0</v>
      </c>
      <c r="H13" s="65"/>
      <c r="I13" s="65">
        <v>0.8</v>
      </c>
      <c r="J13" s="65">
        <v>0.8</v>
      </c>
      <c r="K13" s="65">
        <v>1.6</v>
      </c>
      <c r="L13" s="65">
        <v>1.6</v>
      </c>
      <c r="M13" s="65">
        <v>0.96</v>
      </c>
      <c r="N13" s="65">
        <v>0.96</v>
      </c>
      <c r="O13" s="65">
        <v>1.92</v>
      </c>
      <c r="P13" s="65">
        <v>1.92</v>
      </c>
      <c r="Q13" s="65">
        <v>25.811</v>
      </c>
      <c r="R13" s="65">
        <v>8.2520000000000007</v>
      </c>
      <c r="S13" s="65">
        <v>0</v>
      </c>
      <c r="T13" s="65">
        <v>53.38</v>
      </c>
      <c r="U13" s="65">
        <v>11.569000000000001</v>
      </c>
      <c r="V13" s="65"/>
      <c r="W13" s="65"/>
      <c r="X13" s="65"/>
      <c r="Y13" s="65"/>
      <c r="Z13" s="65"/>
      <c r="AA13" s="65"/>
      <c r="AB13" s="65"/>
      <c r="AC13" s="65">
        <f t="shared" si="4"/>
        <v>0</v>
      </c>
      <c r="AD13" s="65">
        <f t="shared" si="5"/>
        <v>0</v>
      </c>
      <c r="AE13" s="65">
        <f t="shared" si="6"/>
        <v>0</v>
      </c>
      <c r="AF13" s="65">
        <f t="shared" si="7"/>
        <v>0</v>
      </c>
      <c r="AG13" s="53">
        <f t="shared" si="8"/>
        <v>0.8</v>
      </c>
      <c r="AH13" s="53">
        <f t="shared" si="9"/>
        <v>1.6</v>
      </c>
      <c r="AI13" s="55">
        <f t="shared" si="10"/>
        <v>0.96</v>
      </c>
      <c r="AJ13" s="55">
        <f t="shared" si="10"/>
        <v>1.92</v>
      </c>
      <c r="AK13" s="66">
        <f t="shared" si="0"/>
        <v>0.69999728798850114</v>
      </c>
      <c r="AL13" s="66">
        <f t="shared" si="1"/>
        <v>1.4699969707818137</v>
      </c>
      <c r="AM13" s="66">
        <f t="shared" si="2"/>
        <v>0.70003393281303028</v>
      </c>
      <c r="AN13" s="66">
        <f t="shared" si="3"/>
        <v>1.470012706480305</v>
      </c>
      <c r="AO13" s="55">
        <f>'31.12.2018'!AM13+'31.12.2018'!AN13</f>
        <v>3.1474772363861501</v>
      </c>
      <c r="AP13" s="55">
        <f>'31.12.2018'!AO13+'31.12.2018'!AP13</f>
        <v>2.8799801830972722</v>
      </c>
    </row>
    <row r="14" spans="1:42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4"/>
        <v>0</v>
      </c>
      <c r="AD14" s="53">
        <f t="shared" si="5"/>
        <v>0</v>
      </c>
      <c r="AE14" s="53">
        <f t="shared" si="6"/>
        <v>0</v>
      </c>
      <c r="AF14" s="53">
        <f t="shared" si="7"/>
        <v>0</v>
      </c>
      <c r="AG14" s="53">
        <f t="shared" si="8"/>
        <v>1.1499999999999999</v>
      </c>
      <c r="AH14" s="53">
        <f t="shared" si="9"/>
        <v>1.3</v>
      </c>
      <c r="AI14" s="55">
        <f t="shared" si="10"/>
        <v>1.38</v>
      </c>
      <c r="AJ14" s="55">
        <f t="shared" si="10"/>
        <v>1.56</v>
      </c>
      <c r="AK14" s="55">
        <f t="shared" si="0"/>
        <v>1.1520338946782789</v>
      </c>
      <c r="AL14" s="55">
        <f t="shared" si="1"/>
        <v>1.3016703656114941</v>
      </c>
      <c r="AM14" s="55">
        <f t="shared" si="2"/>
        <v>1.2099607267705321</v>
      </c>
      <c r="AN14" s="55">
        <f t="shared" si="3"/>
        <v>1.3286790266512165</v>
      </c>
      <c r="AO14" s="55">
        <f>'31.12.2018'!AM14+'31.12.2018'!AN14</f>
        <v>2.9250143281340759</v>
      </c>
      <c r="AP14" s="55">
        <f>'31.12.2018'!AO14+'31.12.2018'!AP14</f>
        <v>3.0162735719982106</v>
      </c>
    </row>
    <row r="15" spans="1:42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5"/>
      <c r="AJ15" s="55"/>
      <c r="AK15" s="55"/>
      <c r="AL15" s="55"/>
      <c r="AM15" s="55"/>
      <c r="AN15" s="55"/>
      <c r="AO15" s="55">
        <f>'31.12.2018'!AM15+'31.12.2018'!AN15</f>
        <v>3.3969979826023939</v>
      </c>
      <c r="AP15" s="55">
        <f>'31.12.2018'!AO15+'31.12.2018'!AP15</f>
        <v>3.4467379074551134</v>
      </c>
    </row>
    <row r="16" spans="1:42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4"/>
        <v>0.11849604637715984</v>
      </c>
      <c r="AD16" s="53">
        <f t="shared" si="5"/>
        <v>0.11882713454940048</v>
      </c>
      <c r="AE16" s="53">
        <f t="shared" si="6"/>
        <v>7.8722718617255022E-2</v>
      </c>
      <c r="AF16" s="53">
        <f t="shared" si="7"/>
        <v>6.5533099571828804E-2</v>
      </c>
      <c r="AG16" s="53">
        <f t="shared" si="8"/>
        <v>0.99849604637715983</v>
      </c>
      <c r="AH16" s="53">
        <f t="shared" si="9"/>
        <v>1.0288271345494004</v>
      </c>
      <c r="AI16" s="55">
        <f t="shared" si="10"/>
        <v>1.1981952556525917</v>
      </c>
      <c r="AJ16" s="55">
        <f t="shared" si="10"/>
        <v>1.2345925614592805</v>
      </c>
      <c r="AK16" s="55">
        <f t="shared" si="0"/>
        <v>0.99849814896860367</v>
      </c>
      <c r="AL16" s="55">
        <f t="shared" si="1"/>
        <v>1.0288065780725819</v>
      </c>
      <c r="AM16" s="55">
        <f t="shared" si="2"/>
        <v>0.95872857770616671</v>
      </c>
      <c r="AN16" s="55">
        <f t="shared" si="3"/>
        <v>0.97554666713653904</v>
      </c>
      <c r="AO16" s="55">
        <f>'31.12.2018'!AM16+'31.12.2018'!AN16</f>
        <v>2.4900315702093225</v>
      </c>
      <c r="AP16" s="55">
        <f>'31.12.2018'!AO16+'31.12.2018'!AP16</f>
        <v>3.200945347119645</v>
      </c>
    </row>
    <row r="17" spans="1:42" s="15" customFormat="1" x14ac:dyDescent="0.25">
      <c r="A17" s="61" t="s">
        <v>40</v>
      </c>
      <c r="B17" s="65">
        <v>48.48</v>
      </c>
      <c r="C17" s="65">
        <v>6.8789999999999996</v>
      </c>
      <c r="D17" s="65">
        <v>7.4999999999999997E-2</v>
      </c>
      <c r="E17" s="65">
        <v>46.804000000000002</v>
      </c>
      <c r="F17" s="65">
        <v>4.7789999999999999</v>
      </c>
      <c r="G17" s="65"/>
      <c r="H17" s="65"/>
      <c r="I17" s="65">
        <v>1.1399999999999999</v>
      </c>
      <c r="J17" s="65">
        <v>1.68</v>
      </c>
      <c r="K17" s="65">
        <v>1.68</v>
      </c>
      <c r="L17" s="65">
        <v>2.71</v>
      </c>
      <c r="M17" s="65">
        <v>1.3680000000000001</v>
      </c>
      <c r="N17" s="65">
        <v>2.016</v>
      </c>
      <c r="O17" s="65">
        <v>2.016</v>
      </c>
      <c r="P17" s="65">
        <v>3.2519999999999998</v>
      </c>
      <c r="Q17" s="65">
        <v>55.267000000000003</v>
      </c>
      <c r="R17" s="65">
        <v>11.557</v>
      </c>
      <c r="S17" s="65">
        <v>0.126</v>
      </c>
      <c r="T17" s="65">
        <v>78.631</v>
      </c>
      <c r="U17" s="65">
        <v>12.951000000000001</v>
      </c>
      <c r="V17" s="65">
        <v>0</v>
      </c>
      <c r="W17" s="65">
        <v>7.694</v>
      </c>
      <c r="X17" s="65">
        <v>0.33</v>
      </c>
      <c r="Y17" s="65">
        <v>1.9E-2</v>
      </c>
      <c r="Z17" s="65">
        <v>0</v>
      </c>
      <c r="AA17" s="65">
        <v>0</v>
      </c>
      <c r="AB17" s="65">
        <v>0</v>
      </c>
      <c r="AC17" s="65">
        <f t="shared" si="4"/>
        <v>0.15870462046204623</v>
      </c>
      <c r="AD17" s="65">
        <f t="shared" si="5"/>
        <v>0</v>
      </c>
      <c r="AE17" s="65">
        <f t="shared" si="6"/>
        <v>5.0186942766752951E-2</v>
      </c>
      <c r="AF17" s="65">
        <f t="shared" si="7"/>
        <v>0</v>
      </c>
      <c r="AG17" s="53">
        <f t="shared" si="8"/>
        <v>1.298704620462046</v>
      </c>
      <c r="AH17" s="53">
        <f t="shared" si="9"/>
        <v>1.68</v>
      </c>
      <c r="AI17" s="55">
        <f t="shared" si="10"/>
        <v>1.5584455445544552</v>
      </c>
      <c r="AJ17" s="55">
        <f t="shared" si="10"/>
        <v>2.016</v>
      </c>
      <c r="AK17" s="66">
        <f t="shared" si="0"/>
        <v>1.2987004950495051</v>
      </c>
      <c r="AL17" s="66">
        <f t="shared" si="1"/>
        <v>1.6800059823946671</v>
      </c>
      <c r="AM17" s="66">
        <f t="shared" si="2"/>
        <v>1.7280127925570579</v>
      </c>
      <c r="AN17" s="66">
        <f t="shared" si="3"/>
        <v>2.7099811676082863</v>
      </c>
      <c r="AO17" s="55">
        <f>'31.12.2018'!AM17+'31.12.2018'!AN17</f>
        <v>3.2784507870958746</v>
      </c>
      <c r="AP17" s="55">
        <f>'31.12.2018'!AO17+'31.12.2018'!AP17</f>
        <v>4.6436256755607612</v>
      </c>
    </row>
    <row r="18" spans="1:42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>
        <v>0.84299999999999997</v>
      </c>
      <c r="AB18" s="53"/>
      <c r="AC18" s="53">
        <f t="shared" si="4"/>
        <v>6.9620980531868437E-2</v>
      </c>
      <c r="AD18" s="53">
        <f t="shared" si="5"/>
        <v>3.5452454816255349E-2</v>
      </c>
      <c r="AE18" s="53">
        <f t="shared" si="6"/>
        <v>6.6647452986526398E-2</v>
      </c>
      <c r="AF18" s="53">
        <f t="shared" si="7"/>
        <v>7.6448716786070556E-2</v>
      </c>
      <c r="AG18" s="53">
        <f t="shared" si="8"/>
        <v>1.0996209805318684</v>
      </c>
      <c r="AH18" s="53">
        <f t="shared" si="9"/>
        <v>1.0654524548162554</v>
      </c>
      <c r="AI18" s="55">
        <f t="shared" si="10"/>
        <v>1.319545176638242</v>
      </c>
      <c r="AJ18" s="55">
        <f t="shared" si="10"/>
        <v>1.2785429457795063</v>
      </c>
      <c r="AK18" s="55">
        <f t="shared" si="0"/>
        <v>0.51169926678465538</v>
      </c>
      <c r="AL18" s="55">
        <f t="shared" si="1"/>
        <v>1.0327977651216991</v>
      </c>
      <c r="AM18" s="55">
        <f t="shared" si="2"/>
        <v>0.87509244802366659</v>
      </c>
      <c r="AN18" s="55">
        <f t="shared" si="3"/>
        <v>0.86832320667452612</v>
      </c>
      <c r="AO18" s="55">
        <f>'31.12.2018'!AM18+'31.12.2018'!AN18</f>
        <v>3.1916545891219945</v>
      </c>
      <c r="AP18" s="55">
        <f>'31.12.2018'!AO18+'31.12.2018'!AP18</f>
        <v>3.5601266455935257</v>
      </c>
    </row>
    <row r="19" spans="1:42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4"/>
        <v>0</v>
      </c>
      <c r="AD19" s="53">
        <f t="shared" si="5"/>
        <v>0</v>
      </c>
      <c r="AE19" s="53">
        <f t="shared" si="6"/>
        <v>0</v>
      </c>
      <c r="AF19" s="53">
        <f t="shared" si="7"/>
        <v>0</v>
      </c>
      <c r="AG19" s="53">
        <f t="shared" si="8"/>
        <v>0.88</v>
      </c>
      <c r="AH19" s="53">
        <f t="shared" si="9"/>
        <v>1.64</v>
      </c>
      <c r="AI19" s="55">
        <f t="shared" si="10"/>
        <v>1.056</v>
      </c>
      <c r="AJ19" s="55">
        <f t="shared" si="10"/>
        <v>1.9679999999999997</v>
      </c>
      <c r="AK19" s="55">
        <f t="shared" si="0"/>
        <v>0.87942701671976364</v>
      </c>
      <c r="AL19" s="55">
        <f t="shared" si="1"/>
        <v>1.639238711141366</v>
      </c>
      <c r="AM19" s="55">
        <f t="shared" si="2"/>
        <v>1.0438565051643804</v>
      </c>
      <c r="AN19" s="55">
        <f t="shared" si="3"/>
        <v>1.8885325850953669</v>
      </c>
      <c r="AO19" s="55">
        <f>'31.12.2018'!AM19+'31.12.2018'!AN19</f>
        <v>3.6397877715773541</v>
      </c>
      <c r="AP19" s="55">
        <f>'31.12.2018'!AO19+'31.12.2018'!AP19</f>
        <v>3.6479364487582275</v>
      </c>
    </row>
    <row r="20" spans="1:42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>
        <f t="shared" si="8"/>
        <v>0</v>
      </c>
      <c r="AH20" s="53">
        <f t="shared" si="9"/>
        <v>0</v>
      </c>
      <c r="AI20" s="55">
        <f t="shared" si="10"/>
        <v>0</v>
      </c>
      <c r="AJ20" s="55">
        <f t="shared" si="10"/>
        <v>0</v>
      </c>
      <c r="AK20" s="55"/>
      <c r="AL20" s="55"/>
      <c r="AM20" s="55"/>
      <c r="AN20" s="55"/>
      <c r="AO20" s="55">
        <f>'31.12.2018'!AM20+'31.12.2018'!AN20</f>
        <v>2.6097841708115905</v>
      </c>
      <c r="AP20" s="55">
        <f>'31.12.2018'!AO20+'31.12.2018'!AP20</f>
        <v>3.1176501461563921</v>
      </c>
    </row>
    <row r="21" spans="1:42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4"/>
        <v>5.9174293350611491E-3</v>
      </c>
      <c r="AD21" s="53">
        <f t="shared" si="5"/>
        <v>5.889227873654812E-3</v>
      </c>
      <c r="AE21" s="53">
        <f t="shared" si="6"/>
        <v>1.4628205774898577E-3</v>
      </c>
      <c r="AF21" s="53">
        <f t="shared" si="7"/>
        <v>9.4609936746499425E-4</v>
      </c>
      <c r="AG21" s="53">
        <f t="shared" si="8"/>
        <v>0.88369138252207013</v>
      </c>
      <c r="AH21" s="53">
        <f t="shared" si="9"/>
        <v>1.6710127549342522</v>
      </c>
      <c r="AI21" s="55">
        <f t="shared" si="10"/>
        <v>1.0604296590264841</v>
      </c>
      <c r="AJ21" s="55">
        <f t="shared" si="10"/>
        <v>2.0052153059211024</v>
      </c>
      <c r="AK21" s="55">
        <f t="shared" si="0"/>
        <v>0.88369138252207025</v>
      </c>
      <c r="AL21" s="55">
        <f t="shared" si="1"/>
        <v>1.6710127549342522</v>
      </c>
      <c r="AM21" s="55">
        <f t="shared" si="2"/>
        <v>0.94171776930670958</v>
      </c>
      <c r="AN21" s="55">
        <f t="shared" si="3"/>
        <v>2.1638049413418394</v>
      </c>
      <c r="AO21" s="55">
        <f>'31.12.2018'!AM21+'31.12.2018'!AN21</f>
        <v>0</v>
      </c>
      <c r="AP21" s="55">
        <f>'31.12.2018'!AO21+'31.12.2018'!AP21</f>
        <v>0</v>
      </c>
    </row>
    <row r="22" spans="1:42" s="15" customFormat="1" x14ac:dyDescent="0.25">
      <c r="A22" s="61" t="s">
        <v>45</v>
      </c>
      <c r="B22" s="65">
        <v>27.053999999999998</v>
      </c>
      <c r="C22" s="65">
        <v>8.9260000000000002</v>
      </c>
      <c r="D22" s="65">
        <v>0</v>
      </c>
      <c r="E22" s="65">
        <v>24.202999999999999</v>
      </c>
      <c r="F22" s="65">
        <v>3.0680000000000001</v>
      </c>
      <c r="G22" s="65">
        <v>0</v>
      </c>
      <c r="H22" s="65"/>
      <c r="I22" s="65">
        <v>0.8</v>
      </c>
      <c r="J22" s="65">
        <v>0.8</v>
      </c>
      <c r="K22" s="65">
        <v>1.1399999999999999</v>
      </c>
      <c r="L22" s="65">
        <v>1.1399999999999999</v>
      </c>
      <c r="M22" s="65">
        <v>0.96</v>
      </c>
      <c r="N22" s="65">
        <v>0.96</v>
      </c>
      <c r="O22" s="65">
        <v>1.37</v>
      </c>
      <c r="P22" s="65">
        <v>1.37</v>
      </c>
      <c r="Q22" s="65">
        <v>20.622</v>
      </c>
      <c r="R22" s="65">
        <v>8.1769999999999996</v>
      </c>
      <c r="S22" s="65">
        <v>0</v>
      </c>
      <c r="T22" s="65">
        <v>26.148</v>
      </c>
      <c r="U22" s="65">
        <v>4.976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f t="shared" si="4"/>
        <v>0</v>
      </c>
      <c r="AD22" s="65">
        <f t="shared" si="5"/>
        <v>0</v>
      </c>
      <c r="AE22" s="65">
        <f t="shared" si="6"/>
        <v>0</v>
      </c>
      <c r="AF22" s="65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 t="shared" si="10"/>
        <v>0.96</v>
      </c>
      <c r="AJ22" s="55">
        <f t="shared" si="10"/>
        <v>1.3679999999999999</v>
      </c>
      <c r="AK22" s="66">
        <f t="shared" si="0"/>
        <v>0.76225327123530717</v>
      </c>
      <c r="AL22" s="66">
        <f t="shared" si="1"/>
        <v>1.0803619386026526</v>
      </c>
      <c r="AM22" s="66">
        <f t="shared" si="2"/>
        <v>0.9160878332959892</v>
      </c>
      <c r="AN22" s="66">
        <f t="shared" si="3"/>
        <v>1.621903520208605</v>
      </c>
      <c r="AO22" s="55">
        <f>'31.12.2018'!AM22+'31.12.2018'!AN22</f>
        <v>3.000000008700634</v>
      </c>
      <c r="AP22" s="55">
        <f>'31.12.2018'!AO22+'31.12.2018'!AP22</f>
        <v>3.0000018552512042</v>
      </c>
    </row>
    <row r="23" spans="1:42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 t="shared" si="10"/>
        <v>1.3320000000000001</v>
      </c>
      <c r="AJ23" s="55">
        <f t="shared" si="10"/>
        <v>1.704</v>
      </c>
      <c r="AK23" s="55">
        <f t="shared" si="0"/>
        <v>1.0845812438757276</v>
      </c>
      <c r="AL23" s="55">
        <f t="shared" si="1"/>
        <v>1.373533830622842</v>
      </c>
      <c r="AM23" s="55">
        <f t="shared" si="2"/>
        <v>1.080019864260884</v>
      </c>
      <c r="AN23" s="55">
        <f t="shared" si="3"/>
        <v>1.3716961563845502</v>
      </c>
      <c r="AO23" s="55">
        <f>'31.12.2018'!AM23+'31.12.2018'!AN23</f>
        <v>3.4581760614630301</v>
      </c>
      <c r="AP23" s="55">
        <f>'31.12.2018'!AO23+'31.12.2018'!AP23</f>
        <v>3.9179145284749053</v>
      </c>
    </row>
    <row r="24" spans="1:42" s="15" customFormat="1" x14ac:dyDescent="0.25">
      <c r="A24" s="61" t="s">
        <v>47</v>
      </c>
      <c r="B24" s="65">
        <v>65.808000000000007</v>
      </c>
      <c r="C24" s="65">
        <v>30.744</v>
      </c>
      <c r="D24" s="65">
        <v>0</v>
      </c>
      <c r="E24" s="65">
        <v>62.63</v>
      </c>
      <c r="F24" s="65">
        <v>20.655000000000001</v>
      </c>
      <c r="G24" s="65"/>
      <c r="H24" s="65"/>
      <c r="I24" s="65">
        <v>0.89</v>
      </c>
      <c r="J24" s="65">
        <v>1.28</v>
      </c>
      <c r="K24" s="65">
        <v>0.89</v>
      </c>
      <c r="L24" s="65">
        <v>1.28</v>
      </c>
      <c r="M24" s="65">
        <v>1.0680000000000001</v>
      </c>
      <c r="N24" s="65">
        <v>1.536</v>
      </c>
      <c r="O24" s="65">
        <v>1.0680000000000001</v>
      </c>
      <c r="P24" s="65">
        <v>1.536</v>
      </c>
      <c r="Q24" s="65">
        <v>58.569000000000003</v>
      </c>
      <c r="R24" s="65">
        <v>39.351999999999997</v>
      </c>
      <c r="S24" s="65">
        <v>0</v>
      </c>
      <c r="T24" s="65">
        <v>56.006</v>
      </c>
      <c r="U24" s="65">
        <v>30.353000000000002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f t="shared" si="4"/>
        <v>0</v>
      </c>
      <c r="AD24" s="65">
        <f t="shared" si="5"/>
        <v>0</v>
      </c>
      <c r="AE24" s="65">
        <f t="shared" si="6"/>
        <v>0</v>
      </c>
      <c r="AF24" s="65">
        <f t="shared" si="7"/>
        <v>0</v>
      </c>
      <c r="AG24" s="53">
        <f t="shared" si="8"/>
        <v>0.89</v>
      </c>
      <c r="AH24" s="53">
        <f t="shared" si="9"/>
        <v>0.89</v>
      </c>
      <c r="AI24" s="55">
        <f t="shared" si="10"/>
        <v>1.0680000000000001</v>
      </c>
      <c r="AJ24" s="55">
        <f t="shared" si="10"/>
        <v>1.0680000000000001</v>
      </c>
      <c r="AK24" s="66">
        <f t="shared" si="0"/>
        <v>0.88999817651349378</v>
      </c>
      <c r="AL24" s="66">
        <f t="shared" si="1"/>
        <v>0.8942359891425834</v>
      </c>
      <c r="AM24" s="66">
        <f t="shared" si="2"/>
        <v>1.2799895914650012</v>
      </c>
      <c r="AN24" s="66">
        <f t="shared" si="3"/>
        <v>1.469523117889131</v>
      </c>
      <c r="AO24" s="55">
        <f>'31.12.2018'!AM24+'31.12.2018'!AN24</f>
        <v>2.2507873001697871</v>
      </c>
      <c r="AP24" s="55">
        <f>'31.12.2018'!AO24+'31.12.2018'!AP24</f>
        <v>1.958284643408696</v>
      </c>
    </row>
    <row r="25" spans="1:42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 t="shared" si="10"/>
        <v>0.89999999999999991</v>
      </c>
      <c r="AJ25" s="55">
        <f t="shared" si="10"/>
        <v>1.488</v>
      </c>
      <c r="AK25" s="55">
        <f t="shared" si="0"/>
        <v>0.75615624673314896</v>
      </c>
      <c r="AL25" s="55">
        <f t="shared" si="1"/>
        <v>1.2315762399589876</v>
      </c>
      <c r="AM25" s="55">
        <f t="shared" si="2"/>
        <v>0.65771646125267458</v>
      </c>
      <c r="AN25" s="55">
        <f t="shared" si="3"/>
        <v>1.1102469659745284</v>
      </c>
      <c r="AO25" s="55">
        <f>'31.12.2018'!AM25+'31.12.2018'!AN25</f>
        <v>3.1101811847577254</v>
      </c>
      <c r="AP25" s="55">
        <f>'31.12.2018'!AO25+'31.12.2018'!AP25</f>
        <v>3.2231233614045021</v>
      </c>
    </row>
    <row r="26" spans="1:42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 t="shared" si="10"/>
        <v>1.1399999999999999</v>
      </c>
      <c r="AJ26" s="55">
        <f t="shared" si="10"/>
        <v>1.44</v>
      </c>
      <c r="AK26" s="55">
        <f>(Q26+W26)/B26</f>
        <v>0.94997561885093085</v>
      </c>
      <c r="AL26" s="55">
        <f>(T26+Z26)/E26</f>
        <v>1.199990389697756</v>
      </c>
      <c r="AM26" s="55">
        <f>(R26+X26)/C26</f>
        <v>1.0500039249548629</v>
      </c>
      <c r="AN26" s="55">
        <f>(U26+V26+AA26+AB26)/(F26+G26)</f>
        <v>1.4598601909633748</v>
      </c>
      <c r="AO26" s="55">
        <f>'31.12.2018'!AM26+'31.12.2018'!AN26</f>
        <v>2.2330601475206113</v>
      </c>
      <c r="AP26" s="55">
        <f>'31.12.2018'!AO26+'31.12.2018'!AP26</f>
        <v>2.0597713619359448</v>
      </c>
    </row>
    <row r="27" spans="1:42" s="15" customFormat="1" x14ac:dyDescent="0.25">
      <c r="A27" s="64" t="s">
        <v>50</v>
      </c>
      <c r="B27" s="65">
        <v>86.088999999999999</v>
      </c>
      <c r="C27" s="65">
        <v>29.715</v>
      </c>
      <c r="D27" s="65">
        <v>1.278</v>
      </c>
      <c r="E27" s="65">
        <v>82.031999999999996</v>
      </c>
      <c r="F27" s="65">
        <v>161.767</v>
      </c>
      <c r="G27" s="65">
        <v>6.4000000000000001E-2</v>
      </c>
      <c r="H27" s="65"/>
      <c r="I27" s="65">
        <v>0.62</v>
      </c>
      <c r="J27" s="65">
        <v>0.9</v>
      </c>
      <c r="K27" s="65">
        <v>1.22</v>
      </c>
      <c r="L27" s="65">
        <v>1.38</v>
      </c>
      <c r="M27" s="65">
        <f>I27*1.2</f>
        <v>0.74399999999999999</v>
      </c>
      <c r="N27" s="65">
        <f>J27*1.2</f>
        <v>1.08</v>
      </c>
      <c r="O27" s="65">
        <f>K27*1.2</f>
        <v>1.464</v>
      </c>
      <c r="P27" s="65">
        <f>L27*1.2</f>
        <v>1.6559999999999999</v>
      </c>
      <c r="Q27" s="65">
        <v>53.636000000000003</v>
      </c>
      <c r="R27" s="65">
        <v>26.614999999999998</v>
      </c>
      <c r="S27" s="65">
        <v>1.1499999999999999</v>
      </c>
      <c r="T27" s="65">
        <v>100.179</v>
      </c>
      <c r="U27" s="65">
        <v>239.465</v>
      </c>
      <c r="V27" s="65">
        <v>8.7999999999999995E-2</v>
      </c>
      <c r="W27" s="65"/>
      <c r="X27" s="65"/>
      <c r="Y27" s="65"/>
      <c r="Z27" s="65"/>
      <c r="AA27" s="65"/>
      <c r="AB27" s="65"/>
      <c r="AC27" s="65">
        <f t="shared" si="4"/>
        <v>0</v>
      </c>
      <c r="AD27" s="65">
        <f t="shared" si="5"/>
        <v>0</v>
      </c>
      <c r="AE27" s="65">
        <f t="shared" si="6"/>
        <v>0</v>
      </c>
      <c r="AF27" s="65">
        <f t="shared" si="7"/>
        <v>0</v>
      </c>
      <c r="AG27" s="53">
        <f t="shared" si="8"/>
        <v>0.62</v>
      </c>
      <c r="AH27" s="53">
        <f t="shared" si="9"/>
        <v>1.22</v>
      </c>
      <c r="AI27" s="55">
        <f t="shared" si="10"/>
        <v>0.74399999999999999</v>
      </c>
      <c r="AJ27" s="55">
        <f t="shared" si="10"/>
        <v>1.464</v>
      </c>
      <c r="AK27" s="66">
        <f t="shared" ref="AK27:AK42" si="24">(Q27+W27)/B27</f>
        <v>0.62302965535666577</v>
      </c>
      <c r="AL27" s="66">
        <f t="shared" ref="AL27:AL42" si="25">(T27+Z27)/E27</f>
        <v>1.221218548858982</v>
      </c>
      <c r="AM27" s="66">
        <f t="shared" ref="AM27:AM42" si="26">(R27+X27)/C27</f>
        <v>0.89567558472152109</v>
      </c>
      <c r="AN27" s="66">
        <f t="shared" ref="AN27:AN42" si="27">(U27+V27+AA27+AB27)/(F27+G27)</f>
        <v>1.4802664508036163</v>
      </c>
      <c r="AO27" s="55">
        <f>'31.12.2018'!AM27+'31.12.2018'!AN27</f>
        <v>2.3499987770882176</v>
      </c>
      <c r="AP27" s="55">
        <f>'31.12.2018'!AO27+'31.12.2018'!AP27</f>
        <v>2.3499981083142245</v>
      </c>
    </row>
    <row r="28" spans="1:42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 t="shared" si="10"/>
        <v>0.91679999999999995</v>
      </c>
      <c r="AJ28" s="55">
        <f t="shared" si="10"/>
        <v>0.77400000000000002</v>
      </c>
      <c r="AK28" s="55">
        <f t="shared" si="24"/>
        <v>0.76399873769748139</v>
      </c>
      <c r="AL28" s="55">
        <f t="shared" si="25"/>
        <v>0.64499962748652739</v>
      </c>
      <c r="AM28" s="55">
        <f t="shared" si="26"/>
        <v>0.76400345399595515</v>
      </c>
      <c r="AN28" s="55">
        <f t="shared" si="27"/>
        <v>0.64499891706945289</v>
      </c>
      <c r="AO28" s="55">
        <f>'31.12.2018'!AM28+'31.12.2018'!AN28</f>
        <v>1.8999904514880619</v>
      </c>
      <c r="AP28" s="55">
        <f>'31.12.2018'!AO28+'31.12.2018'!AP28</f>
        <v>1.8999976687779081</v>
      </c>
    </row>
    <row r="29" spans="1:42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 t="e">
        <f>'31.12.2018'!AM29+'31.12.2018'!AN29</f>
        <v>#DIV/0!</v>
      </c>
      <c r="AP29" s="55" t="e">
        <f>'31.12.2018'!AO29+'31.12.2018'!AP29</f>
        <v>#DIV/0!</v>
      </c>
    </row>
    <row r="30" spans="1:42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>
        <f>'31.12.2018'!AM30+'31.12.2018'!AN30</f>
        <v>2.258377492915463</v>
      </c>
      <c r="AP30" s="55">
        <f>'31.12.2018'!AO30+'31.12.2018'!AP30</f>
        <v>2.2651924135357424</v>
      </c>
    </row>
    <row r="31" spans="1:42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 t="shared" si="10"/>
        <v>0.85199999999999998</v>
      </c>
      <c r="AJ31" s="55">
        <f t="shared" si="10"/>
        <v>1.1279999999999999</v>
      </c>
      <c r="AK31" s="55">
        <f t="shared" si="24"/>
        <v>0.72615968478812642</v>
      </c>
      <c r="AL31" s="55">
        <f t="shared" si="25"/>
        <v>0.91472088969194165</v>
      </c>
      <c r="AM31" s="55">
        <f t="shared" si="26"/>
        <v>0.71665866739007955</v>
      </c>
      <c r="AN31" s="55">
        <f t="shared" si="27"/>
        <v>0.93633352400462933</v>
      </c>
      <c r="AO31" s="55">
        <f>'31.12.2018'!AM31+'31.12.2018'!AN31</f>
        <v>2.5664893448190531</v>
      </c>
      <c r="AP31" s="55">
        <f>'31.12.2018'!AO31+'31.12.2018'!AP31</f>
        <v>3.4127371209046853</v>
      </c>
    </row>
    <row r="32" spans="1:42" s="15" customFormat="1" x14ac:dyDescent="0.25">
      <c r="A32" s="61" t="s">
        <v>55</v>
      </c>
      <c r="B32" s="65">
        <v>64.039000000000001</v>
      </c>
      <c r="C32" s="65">
        <v>43.48</v>
      </c>
      <c r="D32" s="65"/>
      <c r="E32" s="65">
        <v>50.304000000000002</v>
      </c>
      <c r="F32" s="65">
        <v>116.218</v>
      </c>
      <c r="G32" s="65"/>
      <c r="H32" s="65"/>
      <c r="I32" s="65">
        <v>1.1399999999999999</v>
      </c>
      <c r="J32" s="65">
        <v>1.29</v>
      </c>
      <c r="K32" s="65">
        <v>1.1399999999999999</v>
      </c>
      <c r="L32" s="65">
        <v>2</v>
      </c>
      <c r="M32" s="65">
        <v>1.3680000000000001</v>
      </c>
      <c r="N32" s="65">
        <v>1.548</v>
      </c>
      <c r="O32" s="65">
        <v>1.3680000000000001</v>
      </c>
      <c r="P32" s="65">
        <v>2.4</v>
      </c>
      <c r="Q32" s="65">
        <v>72.759</v>
      </c>
      <c r="R32" s="65">
        <v>56.183</v>
      </c>
      <c r="S32" s="65"/>
      <c r="T32" s="65">
        <v>57.56</v>
      </c>
      <c r="U32" s="65">
        <v>232.012</v>
      </c>
      <c r="V32" s="65"/>
      <c r="W32" s="65"/>
      <c r="X32" s="65"/>
      <c r="Y32" s="65"/>
      <c r="Z32" s="65"/>
      <c r="AA32" s="65"/>
      <c r="AB32" s="65"/>
      <c r="AC32" s="65">
        <v>0</v>
      </c>
      <c r="AD32" s="65">
        <v>0</v>
      </c>
      <c r="AE32" s="65">
        <v>0</v>
      </c>
      <c r="AF32" s="65">
        <v>0</v>
      </c>
      <c r="AG32" s="53">
        <f t="shared" si="8"/>
        <v>1.1399999999999999</v>
      </c>
      <c r="AH32" s="53">
        <f t="shared" si="9"/>
        <v>1.1399999999999999</v>
      </c>
      <c r="AI32" s="55">
        <f t="shared" si="10"/>
        <v>1.3679999999999999</v>
      </c>
      <c r="AJ32" s="55">
        <f t="shared" si="10"/>
        <v>1.3679999999999999</v>
      </c>
      <c r="AK32" s="66">
        <f t="shared" si="24"/>
        <v>1.1361670232202252</v>
      </c>
      <c r="AL32" s="66">
        <f t="shared" si="25"/>
        <v>1.1442430025445292</v>
      </c>
      <c r="AM32" s="66">
        <f t="shared" si="26"/>
        <v>1.2921573137074518</v>
      </c>
      <c r="AN32" s="66">
        <f t="shared" si="27"/>
        <v>1.9963516839043864</v>
      </c>
      <c r="AO32" s="55">
        <f>'31.12.2018'!AM32+'31.12.2018'!AN32</f>
        <v>1.760078062582112</v>
      </c>
      <c r="AP32" s="55">
        <f>'31.12.2018'!AO32+'31.12.2018'!AP32</f>
        <v>2.1771555842033079</v>
      </c>
    </row>
    <row r="33" spans="1:42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 t="shared" si="10"/>
        <v>0.92399999999999993</v>
      </c>
      <c r="AJ33" s="55">
        <f t="shared" si="10"/>
        <v>0.70799999999999996</v>
      </c>
      <c r="AK33" s="55">
        <f t="shared" si="24"/>
        <v>0.76098776051466765</v>
      </c>
      <c r="AL33" s="55">
        <f t="shared" si="25"/>
        <v>0.58309961193879967</v>
      </c>
      <c r="AM33" s="55">
        <f t="shared" si="26"/>
        <v>0.89000139840581727</v>
      </c>
      <c r="AN33" s="55">
        <f t="shared" si="27"/>
        <v>0.85747002559612018</v>
      </c>
      <c r="AO33" s="55">
        <f>'31.12.2018'!AM33+'31.12.2018'!AN33</f>
        <v>2.8099973342356614</v>
      </c>
      <c r="AP33" s="55">
        <f>'31.12.2018'!AO33+'31.12.2018'!AP33</f>
        <v>4.2358849358361326</v>
      </c>
    </row>
    <row r="34" spans="1:42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 t="shared" si="10"/>
        <v>1.0680000000000001</v>
      </c>
      <c r="AJ34" s="55">
        <f t="shared" si="10"/>
        <v>1.5840000000000001</v>
      </c>
      <c r="AK34" s="55">
        <f t="shared" si="24"/>
        <v>0.91588165515316444</v>
      </c>
      <c r="AL34" s="55">
        <f t="shared" si="25"/>
        <v>1.3636522205823158</v>
      </c>
      <c r="AM34" s="55">
        <f t="shared" si="26"/>
        <v>1.540762331838565</v>
      </c>
      <c r="AN34" s="55">
        <f t="shared" si="27"/>
        <v>2.2919541323690349</v>
      </c>
      <c r="AO34" s="55">
        <f>'31.12.2018'!AM34+'31.12.2018'!AN34</f>
        <v>1.7300605039272163</v>
      </c>
      <c r="AP34" s="55">
        <f>'31.12.2018'!AO34+'31.12.2018'!AP34</f>
        <v>4.042319454101805</v>
      </c>
    </row>
    <row r="35" spans="1:42" s="15" customFormat="1" x14ac:dyDescent="0.25">
      <c r="A35" s="61" t="s">
        <v>58</v>
      </c>
      <c r="B35" s="65">
        <v>6860</v>
      </c>
      <c r="C35" s="65">
        <v>2735</v>
      </c>
      <c r="D35" s="65">
        <v>0</v>
      </c>
      <c r="E35" s="65">
        <v>6832</v>
      </c>
      <c r="F35" s="65">
        <v>5116</v>
      </c>
      <c r="G35" s="65">
        <v>0</v>
      </c>
      <c r="H35" s="65">
        <v>10903</v>
      </c>
      <c r="I35" s="65">
        <v>0.95</v>
      </c>
      <c r="J35" s="65">
        <v>2.3199999999999998</v>
      </c>
      <c r="K35" s="65">
        <v>0.78</v>
      </c>
      <c r="L35" s="65">
        <v>1.72</v>
      </c>
      <c r="M35" s="65">
        <v>1.1399999999999999</v>
      </c>
      <c r="N35" s="65">
        <v>2.78</v>
      </c>
      <c r="O35" s="65">
        <v>0.94</v>
      </c>
      <c r="P35" s="65">
        <v>2.06</v>
      </c>
      <c r="Q35" s="65">
        <v>6517</v>
      </c>
      <c r="R35" s="65">
        <v>5806</v>
      </c>
      <c r="S35" s="65">
        <v>0</v>
      </c>
      <c r="T35" s="65">
        <v>5329</v>
      </c>
      <c r="U35" s="65">
        <v>7493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f t="shared" si="4"/>
        <v>0</v>
      </c>
      <c r="AD35" s="65">
        <f t="shared" si="5"/>
        <v>0</v>
      </c>
      <c r="AE35" s="65">
        <f t="shared" si="6"/>
        <v>0</v>
      </c>
      <c r="AF35" s="65">
        <f t="shared" si="7"/>
        <v>0</v>
      </c>
      <c r="AG35" s="53">
        <f t="shared" si="8"/>
        <v>0.95</v>
      </c>
      <c r="AH35" s="53">
        <f t="shared" si="9"/>
        <v>0.78</v>
      </c>
      <c r="AI35" s="55">
        <f t="shared" si="10"/>
        <v>1.1399999999999999</v>
      </c>
      <c r="AJ35" s="55">
        <f t="shared" si="10"/>
        <v>0.93599999999999994</v>
      </c>
      <c r="AK35" s="66">
        <f t="shared" si="24"/>
        <v>0.95</v>
      </c>
      <c r="AL35" s="66">
        <f t="shared" si="25"/>
        <v>0.78000585480093676</v>
      </c>
      <c r="AM35" s="66">
        <f t="shared" si="26"/>
        <v>2.122851919561243</v>
      </c>
      <c r="AN35" s="66">
        <f t="shared" si="27"/>
        <v>1.4646207974980454</v>
      </c>
      <c r="AO35" s="55">
        <f>'31.12.2018'!AM35+'31.12.2018'!AN35</f>
        <v>2.0800001607277698</v>
      </c>
      <c r="AP35" s="55">
        <f>'31.12.2018'!AO35+'31.12.2018'!AP35</f>
        <v>2.4199952895725145</v>
      </c>
    </row>
    <row r="36" spans="1:42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 t="shared" si="10"/>
        <v>1.0680000000000001</v>
      </c>
      <c r="AJ36" s="55">
        <f t="shared" si="10"/>
        <v>1.3559999999999999</v>
      </c>
      <c r="AK36" s="55">
        <f t="shared" si="24"/>
        <v>0.89198693402935159</v>
      </c>
      <c r="AL36" s="55">
        <f t="shared" si="25"/>
        <v>1.125046284051838</v>
      </c>
      <c r="AM36" s="55">
        <f t="shared" si="26"/>
        <v>1.0499937382592361</v>
      </c>
      <c r="AN36" s="55">
        <f t="shared" si="27"/>
        <v>1.3250159948816378</v>
      </c>
      <c r="AO36" s="55">
        <f>'31.12.2018'!AM36+'31.12.2018'!AN36</f>
        <v>1.7021205924418974</v>
      </c>
      <c r="AP36" s="55">
        <f>'31.12.2018'!AO36+'31.12.2018'!AP36</f>
        <v>2.208204480306633</v>
      </c>
    </row>
    <row r="37" spans="1:42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 t="shared" si="10"/>
        <v>0.69599999999999995</v>
      </c>
      <c r="AJ37" s="55">
        <f t="shared" si="10"/>
        <v>1.2</v>
      </c>
      <c r="AK37" s="55">
        <f t="shared" si="24"/>
        <v>0.58041581642691309</v>
      </c>
      <c r="AL37" s="55">
        <f t="shared" si="25"/>
        <v>1.0000077174352295</v>
      </c>
      <c r="AM37" s="55">
        <f t="shared" si="26"/>
        <v>0.58043368497948133</v>
      </c>
      <c r="AN37" s="55">
        <f t="shared" si="27"/>
        <v>1.3255250168251249</v>
      </c>
      <c r="AO37" s="55">
        <f>'31.12.2018'!AM37+'31.12.2018'!AN37</f>
        <v>3.2341784843869141</v>
      </c>
      <c r="AP37" s="55">
        <f>'31.12.2018'!AO37+'31.12.2018'!AP37</f>
        <v>3.7820685312013653</v>
      </c>
    </row>
    <row r="38" spans="1:42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 t="shared" si="10"/>
        <v>0.96479999999999999</v>
      </c>
      <c r="AJ38" s="55">
        <f t="shared" si="10"/>
        <v>1.0835999999999999</v>
      </c>
      <c r="AK38" s="55">
        <f t="shared" si="24"/>
        <v>0.79768577372009708</v>
      </c>
      <c r="AL38" s="55">
        <f t="shared" si="25"/>
        <v>0.90181023221093604</v>
      </c>
      <c r="AM38" s="55">
        <f t="shared" si="26"/>
        <v>0.95315272684254126</v>
      </c>
      <c r="AN38" s="55">
        <f t="shared" si="27"/>
        <v>1.0535346012832263</v>
      </c>
      <c r="AO38" s="55">
        <f>'31.12.2018'!AM38+'31.12.2018'!AN38</f>
        <v>2.4954324207585006</v>
      </c>
      <c r="AP38" s="55">
        <f>'31.12.2018'!AO38+'31.12.2018'!AP38</f>
        <v>2.7139301153439832</v>
      </c>
    </row>
    <row r="39" spans="1:42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 t="shared" si="10"/>
        <v>1.212</v>
      </c>
      <c r="AJ39" s="55">
        <f t="shared" si="10"/>
        <v>1.4159999999999999</v>
      </c>
      <c r="AK39" s="55">
        <f t="shared" si="24"/>
        <v>1.0076549220165065</v>
      </c>
      <c r="AL39" s="55">
        <f t="shared" si="25"/>
        <v>1.1770239741039215</v>
      </c>
      <c r="AM39" s="55">
        <f t="shared" si="26"/>
        <v>1.0085282298863867</v>
      </c>
      <c r="AN39" s="55">
        <f t="shared" si="27"/>
        <v>1.1675336016402156</v>
      </c>
      <c r="AO39" s="55">
        <f>'31.12.2018'!AM39+'31.12.2018'!AN39</f>
        <v>2.6137355239386029</v>
      </c>
      <c r="AP39" s="55">
        <f>'31.12.2018'!AO39+'31.12.2018'!AP39</f>
        <v>2.6585666144272242</v>
      </c>
    </row>
    <row r="40" spans="1:42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8">W40/B40</f>
        <v>0</v>
      </c>
      <c r="AD40" s="53">
        <f t="shared" ref="AD40" si="29">Z40/E40</f>
        <v>0</v>
      </c>
      <c r="AE40" s="53">
        <f t="shared" ref="AE40" si="30">(X40+Y40)/(C40+D40)</f>
        <v>0</v>
      </c>
      <c r="AF40" s="53">
        <f t="shared" ref="AF40" si="31">(AA40+AB40)/(F40+G40)</f>
        <v>0</v>
      </c>
      <c r="AG40" s="53">
        <f t="shared" ref="AG40" si="32">I40+AC40</f>
        <v>0.77</v>
      </c>
      <c r="AH40" s="53">
        <f t="shared" ref="AH40" si="33">K40+AD40</f>
        <v>0.95</v>
      </c>
      <c r="AI40" s="55">
        <f t="shared" ref="AI40" si="34">AG40*1.2</f>
        <v>0.92399999999999993</v>
      </c>
      <c r="AJ40" s="55">
        <f t="shared" ref="AJ40" si="35">AH40*1.2</f>
        <v>1.1399999999999999</v>
      </c>
      <c r="AK40" s="55">
        <f t="shared" ref="AK40" si="36">(Q40+W40)/B40</f>
        <v>0.7730582524271844</v>
      </c>
      <c r="AL40" s="55">
        <f t="shared" ref="AL40" si="37">(T40+Z40)/E40</f>
        <v>0.9519913367825773</v>
      </c>
      <c r="AM40" s="55">
        <f t="shared" ref="AM40" si="38">(R40+X40)/C40</f>
        <v>0.77325056433408579</v>
      </c>
      <c r="AN40" s="55">
        <f t="shared" ref="AN40" si="39">(U40+V40+AA40+AB40)/(F40+G40)</f>
        <v>0.95197535338890904</v>
      </c>
      <c r="AO40" s="55">
        <f>'31.12.2018'!AM40+'31.12.2018'!AN40</f>
        <v>2.7942121831468434</v>
      </c>
      <c r="AP40" s="55">
        <f>'31.12.2018'!AO40+'31.12.2018'!AP40</f>
        <v>2.7941985530189162</v>
      </c>
    </row>
    <row r="41" spans="1:42" s="15" customFormat="1" x14ac:dyDescent="0.25">
      <c r="A41" s="61" t="s">
        <v>64</v>
      </c>
      <c r="B41" s="65">
        <v>274.10300000000001</v>
      </c>
      <c r="C41" s="65">
        <v>56.46</v>
      </c>
      <c r="D41" s="65">
        <v>0</v>
      </c>
      <c r="E41" s="65">
        <v>267.08100000000002</v>
      </c>
      <c r="F41" s="65">
        <v>65.215000000000003</v>
      </c>
      <c r="G41" s="65">
        <v>0</v>
      </c>
      <c r="H41" s="65"/>
      <c r="I41" s="65">
        <v>1.25</v>
      </c>
      <c r="J41" s="65">
        <v>1.47</v>
      </c>
      <c r="K41" s="65">
        <v>1.95</v>
      </c>
      <c r="L41" s="65">
        <v>2.2000000000000002</v>
      </c>
      <c r="M41" s="65">
        <v>1.5</v>
      </c>
      <c r="N41" s="65">
        <v>1.76</v>
      </c>
      <c r="O41" s="65">
        <v>2.34</v>
      </c>
      <c r="P41" s="65">
        <v>2.64</v>
      </c>
      <c r="Q41" s="65">
        <v>343.35399999999998</v>
      </c>
      <c r="R41" s="65">
        <v>92.013000000000005</v>
      </c>
      <c r="S41" s="65">
        <v>0</v>
      </c>
      <c r="T41" s="65">
        <v>495.00299999999999</v>
      </c>
      <c r="U41" s="65">
        <v>120.42400000000001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f t="shared" si="4"/>
        <v>0</v>
      </c>
      <c r="AD41" s="65">
        <f t="shared" si="5"/>
        <v>0</v>
      </c>
      <c r="AE41" s="65">
        <f t="shared" si="6"/>
        <v>0</v>
      </c>
      <c r="AF41" s="65">
        <f t="shared" si="7"/>
        <v>0</v>
      </c>
      <c r="AG41" s="53">
        <f t="shared" si="8"/>
        <v>1.25</v>
      </c>
      <c r="AH41" s="53">
        <f t="shared" si="9"/>
        <v>1.95</v>
      </c>
      <c r="AI41" s="55">
        <f t="shared" si="10"/>
        <v>1.5</v>
      </c>
      <c r="AJ41" s="55">
        <f t="shared" si="10"/>
        <v>2.34</v>
      </c>
      <c r="AK41" s="66">
        <f t="shared" si="24"/>
        <v>1.2526459031823802</v>
      </c>
      <c r="AL41" s="66">
        <f t="shared" si="25"/>
        <v>1.8533815584036302</v>
      </c>
      <c r="AM41" s="66">
        <f t="shared" si="26"/>
        <v>1.629702444208289</v>
      </c>
      <c r="AN41" s="66">
        <f t="shared" si="27"/>
        <v>1.8465690408648316</v>
      </c>
      <c r="AO41" s="55">
        <f>'31.12.2018'!AM41+'31.12.2018'!AN41</f>
        <v>3.2070469060035842</v>
      </c>
      <c r="AP41" s="55">
        <f>'31.12.2018'!AO41+'31.12.2018'!AP41</f>
        <v>3.6308809329884664</v>
      </c>
    </row>
    <row r="42" spans="1:42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3">
        <f t="shared" si="8"/>
        <v>0.77</v>
      </c>
      <c r="AH42" s="53">
        <f t="shared" si="9"/>
        <v>0.99</v>
      </c>
      <c r="AI42" s="55">
        <f t="shared" si="10"/>
        <v>0.92399999999999993</v>
      </c>
      <c r="AJ42" s="55">
        <f t="shared" si="10"/>
        <v>1.1879999999999999</v>
      </c>
      <c r="AK42" s="55">
        <f t="shared" si="24"/>
        <v>0.75755637294098832</v>
      </c>
      <c r="AL42" s="55">
        <f t="shared" si="25"/>
        <v>0.97603269856618735</v>
      </c>
      <c r="AM42" s="55">
        <f t="shared" si="26"/>
        <v>0.76044728434504794</v>
      </c>
      <c r="AN42" s="55">
        <f t="shared" si="27"/>
        <v>1.2926315444776151</v>
      </c>
      <c r="AO42" s="55">
        <f>'31.12.2018'!AM42+'31.12.2018'!AN42</f>
        <v>1.849999305553649</v>
      </c>
      <c r="AP42" s="55">
        <f>'31.12.2018'!AO42+'31.12.2018'!AP42</f>
        <v>1.9936253108832571</v>
      </c>
    </row>
    <row r="43" spans="1:42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40">W43/B43</f>
        <v>0</v>
      </c>
      <c r="AD43" s="53">
        <f t="shared" ref="AD43" si="41">Z43/E43</f>
        <v>0</v>
      </c>
      <c r="AE43" s="53">
        <f t="shared" ref="AE43" si="42">(X43+Y43)/(C43+D43)</f>
        <v>0</v>
      </c>
      <c r="AF43" s="53">
        <f t="shared" ref="AF43" si="43">(AA43+AB43)/(F43+G43)</f>
        <v>0</v>
      </c>
      <c r="AG43" s="53">
        <f t="shared" ref="AG43" si="44">I43+AC43</f>
        <v>0.77</v>
      </c>
      <c r="AH43" s="53">
        <f t="shared" ref="AH43" si="45">K43+AD43</f>
        <v>0.99</v>
      </c>
      <c r="AI43" s="55">
        <f t="shared" ref="AI43" si="46">AG43*1.2</f>
        <v>0.92399999999999993</v>
      </c>
      <c r="AJ43" s="55">
        <f t="shared" ref="AJ43" si="47">AH43*1.2</f>
        <v>1.1879999999999999</v>
      </c>
      <c r="AK43" s="55">
        <f t="shared" ref="AK43" si="48">(Q43+W43)/B43</f>
        <v>0.75755637294098832</v>
      </c>
      <c r="AL43" s="55">
        <f t="shared" ref="AL43" si="49">(T43+Z43)/E43</f>
        <v>0.97603269856618735</v>
      </c>
      <c r="AM43" s="55">
        <f t="shared" ref="AM43" si="50">(R43+X43)/C43</f>
        <v>0.76044728434504794</v>
      </c>
      <c r="AN43" s="55">
        <f t="shared" ref="AN43" si="51">(U43+V43+AA43+AB43)/(F43+G43)</f>
        <v>1.2926315444776151</v>
      </c>
      <c r="AO43" s="55">
        <f>'31.12.2018'!AM43+'31.12.2018'!AN43</f>
        <v>2.297839972198942</v>
      </c>
      <c r="AP43" s="55">
        <f>'31.12.2018'!AO43+'31.12.2018'!AP43</f>
        <v>2.2124296479453669</v>
      </c>
    </row>
    <row r="44" spans="1:42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52">W44/B44</f>
        <v>0</v>
      </c>
      <c r="AD44" s="53">
        <f t="shared" ref="AD44" si="53">Z44/E44</f>
        <v>0</v>
      </c>
      <c r="AE44" s="53">
        <f t="shared" ref="AE44" si="54">(X44+Y44)/(C44+D44)</f>
        <v>0</v>
      </c>
      <c r="AF44" s="53">
        <f t="shared" ref="AF44" si="55">(AA44+AB44)/(F44+G44)</f>
        <v>0</v>
      </c>
      <c r="AG44" s="53">
        <f t="shared" ref="AG44" si="56">I44+AC44</f>
        <v>0.77</v>
      </c>
      <c r="AH44" s="53">
        <f t="shared" ref="AH44" si="57">K44+AD44</f>
        <v>0.99</v>
      </c>
      <c r="AI44" s="55">
        <f t="shared" ref="AI44" si="58">AG44*1.2</f>
        <v>0.92399999999999993</v>
      </c>
      <c r="AJ44" s="55">
        <f t="shared" ref="AJ44" si="59">AH44*1.2</f>
        <v>1.1879999999999999</v>
      </c>
      <c r="AK44" s="55">
        <f t="shared" ref="AK44" si="60">(Q44+W44)/B44</f>
        <v>0.75755637294098832</v>
      </c>
      <c r="AL44" s="55">
        <f t="shared" ref="AL44" si="61">(T44+Z44)/E44</f>
        <v>0.97603269856618735</v>
      </c>
      <c r="AM44" s="55">
        <f t="shared" ref="AM44" si="62">(R44+X44)/C44</f>
        <v>0.76044728434504794</v>
      </c>
      <c r="AN44" s="55">
        <f t="shared" ref="AN44" si="63">(U44+V44+AA44+AB44)/(F44+G44)</f>
        <v>1.2926315444776151</v>
      </c>
      <c r="AO44" s="55">
        <f>'31.12.2018'!AM44+'31.12.2018'!AN44</f>
        <v>2.5369357912528572</v>
      </c>
      <c r="AP44" s="55">
        <f>'31.12.2018'!AO44+'31.12.2018'!AP44</f>
        <v>2.5443512703521041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47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S48" sqref="AS48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8" t="s">
        <v>2</v>
      </c>
      <c r="AL1" s="16"/>
      <c r="AM1" s="11" t="s">
        <v>3</v>
      </c>
      <c r="AN1" s="12"/>
      <c r="AO1" s="12"/>
      <c r="AP1" s="13"/>
      <c r="AQ1" s="18" t="s">
        <v>98</v>
      </c>
      <c r="AR1" s="18" t="s">
        <v>99</v>
      </c>
    </row>
    <row r="2" spans="1:44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6" t="s">
        <v>17</v>
      </c>
      <c r="AL2" s="16"/>
      <c r="AM2" s="11" t="s">
        <v>16</v>
      </c>
      <c r="AN2" s="13"/>
      <c r="AO2" s="11" t="s">
        <v>17</v>
      </c>
      <c r="AP2" s="13"/>
    </row>
    <row r="3" spans="1:44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7" t="s">
        <v>25</v>
      </c>
      <c r="AH3" s="17" t="s">
        <v>26</v>
      </c>
      <c r="AI3" s="17" t="s">
        <v>25</v>
      </c>
      <c r="AJ3" s="17" t="s">
        <v>26</v>
      </c>
      <c r="AK3" s="17" t="s">
        <v>25</v>
      </c>
      <c r="AL3" s="17" t="s">
        <v>26</v>
      </c>
      <c r="AM3" s="14" t="s">
        <v>25</v>
      </c>
      <c r="AN3" s="14" t="s">
        <v>26</v>
      </c>
      <c r="AO3" s="14" t="s">
        <v>25</v>
      </c>
      <c r="AP3" s="14" t="s">
        <v>26</v>
      </c>
      <c r="AQ3" s="14" t="s">
        <v>19</v>
      </c>
      <c r="AR3" s="14" t="s">
        <v>17</v>
      </c>
    </row>
    <row r="4" spans="1:44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AG4*1.2</f>
        <v>1.5966243871200145</v>
      </c>
      <c r="AJ4" s="55">
        <f>AH4*1.2</f>
        <v>2.6166226041577465</v>
      </c>
      <c r="AK4" s="55">
        <f>(J4+AE4)*1.2</f>
        <v>2.3986514008153352</v>
      </c>
      <c r="AL4" s="55">
        <f>(AF4+L4)*1.2</f>
        <v>3.6953913499830207</v>
      </c>
      <c r="AM4" s="55">
        <f t="shared" ref="AM4:AM25" si="0">(Q4+W4)/B4</f>
        <v>1.3378944945866438</v>
      </c>
      <c r="AN4" s="55">
        <f t="shared" ref="AN4:AN25" si="1">(T4+Z4)/E4</f>
        <v>2.1815022088343299</v>
      </c>
      <c r="AO4" s="55">
        <f t="shared" ref="AO4:AO25" si="2">(R4+X4)/C4</f>
        <v>2.0532136351808479</v>
      </c>
      <c r="AP4" s="55">
        <f t="shared" ref="AP4:AP25" si="3">(U4+V4+AA4+AB4)/(F4+G4)</f>
        <v>3.0793226931744515</v>
      </c>
      <c r="AQ4" s="55">
        <f>'31.12.2018'!AK4+'31.12.2018'!AL4</f>
        <v>3.4811999999999999</v>
      </c>
      <c r="AR4" s="55">
        <f>'31.12.2018'!P4+'31.12.2018'!R4+'31.12.2018'!AG4*1.2+'31.12.2018'!AH4*1.2</f>
        <v>3.6819999999999999</v>
      </c>
    </row>
    <row r="5" spans="1:44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3">
        <f t="shared" ref="AG5:AG42" si="8">I5+AC5</f>
        <v>0.9</v>
      </c>
      <c r="AH5" s="53">
        <f t="shared" ref="AH5:AH42" si="9">K5+AD5</f>
        <v>1.0900000000000001</v>
      </c>
      <c r="AI5" s="55">
        <f t="shared" ref="AI5:AJ42" si="10">AG5*1.2</f>
        <v>1.08</v>
      </c>
      <c r="AJ5" s="55">
        <f t="shared" si="10"/>
        <v>1.3080000000000001</v>
      </c>
      <c r="AK5" s="55">
        <f t="shared" ref="AK5:AK42" si="11">(J5+AE5)*1.2</f>
        <v>1.08</v>
      </c>
      <c r="AL5" s="55">
        <f t="shared" ref="AL5:AL42" si="12">(AF5+L5)*1.2</f>
        <v>1.3080000000000001</v>
      </c>
      <c r="AM5" s="55">
        <f t="shared" si="0"/>
        <v>0.83448706250065552</v>
      </c>
      <c r="AN5" s="55">
        <f t="shared" si="1"/>
        <v>1.0513394445204542</v>
      </c>
      <c r="AO5" s="55">
        <f t="shared" si="2"/>
        <v>0.77812921961415382</v>
      </c>
      <c r="AP5" s="55">
        <f t="shared" si="3"/>
        <v>1.2934140769794407</v>
      </c>
      <c r="AQ5" s="55">
        <f>'31.12.2018'!AK5+'31.12.2018'!AL5</f>
        <v>3.2680968957300842</v>
      </c>
      <c r="AR5" s="55">
        <f>'31.12.2018'!P5+'31.12.2018'!R5+'31.12.2018'!AG5*1.2+'31.12.2018'!AH5*1.2</f>
        <v>3.470920843902392</v>
      </c>
    </row>
    <row r="6" spans="1:44" s="15" customFormat="1" x14ac:dyDescent="0.25">
      <c r="A6" s="61" t="s">
        <v>29</v>
      </c>
      <c r="B6" s="65">
        <v>44.539000000000001</v>
      </c>
      <c r="C6" s="65">
        <v>0</v>
      </c>
      <c r="D6" s="65">
        <v>0</v>
      </c>
      <c r="E6" s="65">
        <v>43.347999999999999</v>
      </c>
      <c r="F6" s="65">
        <v>0</v>
      </c>
      <c r="G6" s="65">
        <v>0</v>
      </c>
      <c r="H6" s="65"/>
      <c r="I6" s="65">
        <v>0.73</v>
      </c>
      <c r="J6" s="65"/>
      <c r="K6" s="65">
        <v>0.59</v>
      </c>
      <c r="L6" s="65"/>
      <c r="M6" s="65">
        <v>0.88</v>
      </c>
      <c r="N6" s="65"/>
      <c r="O6" s="65">
        <v>0.71</v>
      </c>
      <c r="P6" s="65"/>
      <c r="Q6" s="65">
        <v>32.47</v>
      </c>
      <c r="R6" s="65"/>
      <c r="S6" s="65"/>
      <c r="T6" s="65">
        <v>25.533000000000001</v>
      </c>
      <c r="U6" s="65"/>
      <c r="V6" s="65"/>
      <c r="W6" s="65">
        <v>7.8680000000000003</v>
      </c>
      <c r="X6" s="65"/>
      <c r="Y6" s="65"/>
      <c r="Z6" s="65">
        <v>5.8470000000000004</v>
      </c>
      <c r="AA6" s="65"/>
      <c r="AB6" s="65"/>
      <c r="AC6" s="65">
        <f t="shared" si="4"/>
        <v>0.17665416825703317</v>
      </c>
      <c r="AD6" s="65">
        <f t="shared" si="5"/>
        <v>0.13488511580695767</v>
      </c>
      <c r="AE6" s="65"/>
      <c r="AF6" s="65"/>
      <c r="AG6" s="53">
        <f t="shared" si="8"/>
        <v>0.90665416825703316</v>
      </c>
      <c r="AH6" s="53">
        <f t="shared" si="9"/>
        <v>0.72488511580695758</v>
      </c>
      <c r="AI6" s="55">
        <f t="shared" si="10"/>
        <v>1.0879850019084398</v>
      </c>
      <c r="AJ6" s="55">
        <f t="shared" si="10"/>
        <v>0.86986213896834907</v>
      </c>
      <c r="AK6" s="55">
        <f t="shared" si="11"/>
        <v>0</v>
      </c>
      <c r="AL6" s="55">
        <f t="shared" si="12"/>
        <v>0</v>
      </c>
      <c r="AM6" s="66">
        <f t="shared" si="0"/>
        <v>0.90567816969397608</v>
      </c>
      <c r="AN6" s="66">
        <f t="shared" si="1"/>
        <v>0.72390883085724844</v>
      </c>
      <c r="AO6" s="66"/>
      <c r="AP6" s="66"/>
      <c r="AQ6" s="55">
        <f>'31.12.2018'!AK6+'31.12.2018'!AL6</f>
        <v>1.7830554382433594</v>
      </c>
      <c r="AR6" s="55">
        <f>'31.12.2018'!P6+'31.12.2018'!R6+'31.12.2018'!AG6*1.2+'31.12.2018'!AH6*1.2</f>
        <v>0</v>
      </c>
    </row>
    <row r="7" spans="1:44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3">I7*1.2</f>
        <v>0.95910406086235145</v>
      </c>
      <c r="N7" s="55">
        <f t="shared" si="13"/>
        <v>0.96185727023546108</v>
      </c>
      <c r="O7" s="55">
        <f t="shared" si="13"/>
        <v>1.3192409751053764</v>
      </c>
      <c r="P7" s="55">
        <f t="shared" si="13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 t="shared" si="10"/>
        <v>0.95910406086235145</v>
      </c>
      <c r="AJ7" s="55">
        <f t="shared" si="10"/>
        <v>1.3192409751053764</v>
      </c>
      <c r="AK7" s="55">
        <f t="shared" si="11"/>
        <v>0.96185727023546108</v>
      </c>
      <c r="AL7" s="55">
        <f t="shared" si="12"/>
        <v>2.0358014191007703</v>
      </c>
      <c r="AM7" s="55">
        <f t="shared" si="0"/>
        <v>0.79925338405195956</v>
      </c>
      <c r="AN7" s="55">
        <f t="shared" si="1"/>
        <v>1.0993674792544803</v>
      </c>
      <c r="AO7" s="55">
        <f t="shared" si="2"/>
        <v>0.80154772519621764</v>
      </c>
      <c r="AP7" s="55">
        <f t="shared" si="3"/>
        <v>1.6965011825839753</v>
      </c>
      <c r="AQ7" s="55">
        <f>'31.12.2018'!AK7+'31.12.2018'!AL7</f>
        <v>2.8115811080969344</v>
      </c>
      <c r="AR7" s="55">
        <f>'31.12.2018'!P7+'31.12.2018'!R7+'31.12.2018'!AG7*1.2+'31.12.2018'!AH7*1.2</f>
        <v>3.1260004330534787</v>
      </c>
    </row>
    <row r="8" spans="1:44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3"/>
        <v>0.95910406086235145</v>
      </c>
      <c r="N8" s="55">
        <f t="shared" si="13"/>
        <v>0.96185727023546108</v>
      </c>
      <c r="O8" s="55">
        <f t="shared" si="13"/>
        <v>1.3192409751053764</v>
      </c>
      <c r="P8" s="55">
        <f t="shared" si="13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4">W8/B8</f>
        <v>0</v>
      </c>
      <c r="AD8" s="53">
        <f t="shared" ref="AD8" si="15">Z8/E8</f>
        <v>0</v>
      </c>
      <c r="AE8" s="53">
        <f t="shared" ref="AE8" si="16">(X8+Y8)/(C8+D8)</f>
        <v>0</v>
      </c>
      <c r="AF8" s="53">
        <f t="shared" ref="AF8" si="17">(AA8+AB8)/(F8+G8)</f>
        <v>0</v>
      </c>
      <c r="AG8" s="53">
        <f t="shared" ref="AG8" si="18">I8+AC8</f>
        <v>0.79925338405195956</v>
      </c>
      <c r="AH8" s="53">
        <f t="shared" ref="AH8" si="19">K8+AD8</f>
        <v>1.0993674792544803</v>
      </c>
      <c r="AI8" s="55">
        <f t="shared" ref="AI8" si="20">AG8*1.2</f>
        <v>0.95910406086235145</v>
      </c>
      <c r="AJ8" s="55">
        <f t="shared" ref="AJ8" si="21">AH8*1.2</f>
        <v>1.3192409751053764</v>
      </c>
      <c r="AK8" s="55">
        <f t="shared" ref="AK8" si="22">(J8+AE8)*1.2</f>
        <v>0.96185727023546108</v>
      </c>
      <c r="AL8" s="55">
        <f t="shared" ref="AL8" si="23">(AF8+L8)*1.2</f>
        <v>2.0358014191007703</v>
      </c>
      <c r="AM8" s="55">
        <f t="shared" ref="AM8" si="24">(Q8+W8)/B8</f>
        <v>0.79925338405195956</v>
      </c>
      <c r="AN8" s="55">
        <f t="shared" ref="AN8" si="25">(T8+Z8)/E8</f>
        <v>1.0993674792544803</v>
      </c>
      <c r="AO8" s="55">
        <f t="shared" ref="AO8" si="26">(R8+X8)/C8</f>
        <v>0.80154772519621764</v>
      </c>
      <c r="AP8" s="55">
        <f t="shared" ref="AP8" si="27">(U8+V8+AA8+AB8)/(F8+G8)</f>
        <v>1.6965011825839753</v>
      </c>
      <c r="AQ8" s="55">
        <f>'31.12.2018'!AK8+'31.12.2018'!AL8</f>
        <v>3.4239576706239614</v>
      </c>
      <c r="AR8" s="55">
        <f>'31.12.2018'!P8+'31.12.2018'!R8+'31.12.2018'!AG8*1.2+'31.12.2018'!AH8*1.2</f>
        <v>3.181408825684084</v>
      </c>
    </row>
    <row r="9" spans="1:44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 t="shared" si="10"/>
        <v>1.056</v>
      </c>
      <c r="AJ9" s="55">
        <f t="shared" si="10"/>
        <v>1.56</v>
      </c>
      <c r="AK9" s="55">
        <f t="shared" si="11"/>
        <v>1.26</v>
      </c>
      <c r="AL9" s="55">
        <f t="shared" si="12"/>
        <v>1.8719999999999999</v>
      </c>
      <c r="AM9" s="55">
        <f t="shared" si="0"/>
        <v>0.88003251834997398</v>
      </c>
      <c r="AN9" s="55">
        <f t="shared" si="1"/>
        <v>1.2995790594155217</v>
      </c>
      <c r="AO9" s="55">
        <f t="shared" si="2"/>
        <v>1.0519376194565246</v>
      </c>
      <c r="AP9" s="55">
        <f t="shared" si="3"/>
        <v>1.5630771489392941</v>
      </c>
      <c r="AQ9" s="55">
        <f>'31.12.2018'!AK9+'31.12.2018'!AL9</f>
        <v>3.9</v>
      </c>
      <c r="AR9" s="55">
        <f>'31.12.2018'!P9+'31.12.2018'!R9+'31.12.2018'!AG9*1.2+'31.12.2018'!AH9*1.2</f>
        <v>4.0919999999999996</v>
      </c>
    </row>
    <row r="10" spans="1:44" s="15" customFormat="1" x14ac:dyDescent="0.25">
      <c r="A10" s="61" t="s">
        <v>33</v>
      </c>
      <c r="B10" s="65">
        <v>12.874000000000001</v>
      </c>
      <c r="C10" s="65">
        <v>3.2320000000000002</v>
      </c>
      <c r="D10" s="65">
        <v>0</v>
      </c>
      <c r="E10" s="65">
        <v>12.874000000000001</v>
      </c>
      <c r="F10" s="65">
        <v>3.2320000000000002</v>
      </c>
      <c r="G10" s="65">
        <v>0</v>
      </c>
      <c r="H10" s="65">
        <v>44.454999999999998</v>
      </c>
      <c r="I10" s="65">
        <v>0.95</v>
      </c>
      <c r="J10" s="65">
        <v>0.95</v>
      </c>
      <c r="K10" s="65">
        <v>1.1299999999999999</v>
      </c>
      <c r="L10" s="65">
        <v>1.1299999999999999</v>
      </c>
      <c r="M10" s="65">
        <v>1.1399999999999999</v>
      </c>
      <c r="N10" s="65">
        <v>1.1399999999999999</v>
      </c>
      <c r="O10" s="65">
        <v>1.36</v>
      </c>
      <c r="P10" s="65">
        <v>1.36</v>
      </c>
      <c r="Q10" s="65">
        <v>9.3949999999999996</v>
      </c>
      <c r="R10" s="65">
        <v>2.911</v>
      </c>
      <c r="S10" s="65">
        <v>0</v>
      </c>
      <c r="T10" s="65">
        <v>15.593999999999999</v>
      </c>
      <c r="U10" s="65">
        <v>3.556</v>
      </c>
      <c r="V10" s="65">
        <v>9.2550000000000008</v>
      </c>
      <c r="W10" s="65"/>
      <c r="X10" s="65"/>
      <c r="Y10" s="65"/>
      <c r="Z10" s="65"/>
      <c r="AA10" s="65"/>
      <c r="AB10" s="65"/>
      <c r="AC10" s="65">
        <f t="shared" si="4"/>
        <v>0</v>
      </c>
      <c r="AD10" s="65">
        <f t="shared" si="5"/>
        <v>0</v>
      </c>
      <c r="AE10" s="65">
        <f t="shared" si="6"/>
        <v>0</v>
      </c>
      <c r="AF10" s="65">
        <f t="shared" si="7"/>
        <v>0</v>
      </c>
      <c r="AG10" s="53">
        <f t="shared" si="8"/>
        <v>0.95</v>
      </c>
      <c r="AH10" s="53">
        <f t="shared" si="9"/>
        <v>1.1299999999999999</v>
      </c>
      <c r="AI10" s="55">
        <f t="shared" si="10"/>
        <v>1.1399999999999999</v>
      </c>
      <c r="AJ10" s="55">
        <f t="shared" si="10"/>
        <v>1.3559999999999999</v>
      </c>
      <c r="AK10" s="55">
        <f t="shared" si="11"/>
        <v>1.1399999999999999</v>
      </c>
      <c r="AL10" s="55">
        <f t="shared" si="12"/>
        <v>1.3559999999999999</v>
      </c>
      <c r="AM10" s="66">
        <f t="shared" si="0"/>
        <v>0.72976541867329492</v>
      </c>
      <c r="AN10" s="66">
        <f t="shared" si="1"/>
        <v>1.2112785459064781</v>
      </c>
      <c r="AO10" s="66">
        <f t="shared" si="2"/>
        <v>0.90068069306930687</v>
      </c>
      <c r="AP10" s="66">
        <f t="shared" si="3"/>
        <v>3.9637995049504946</v>
      </c>
      <c r="AQ10" s="55">
        <f>'31.12.2018'!AK10+'31.12.2018'!AL10</f>
        <v>2.4935999999999998</v>
      </c>
      <c r="AR10" s="55">
        <f>'31.12.2018'!P10+'31.12.2018'!R10+'31.12.2018'!AG10*1.2+'31.12.2018'!AH10*1.2</f>
        <v>2.5</v>
      </c>
    </row>
    <row r="11" spans="1:44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1.0967769959169489E-2</v>
      </c>
      <c r="AD11" s="53">
        <f t="shared" si="5"/>
        <v>0</v>
      </c>
      <c r="AE11" s="53">
        <f t="shared" si="6"/>
        <v>0.10334020974245813</v>
      </c>
      <c r="AF11" s="53">
        <f t="shared" si="7"/>
        <v>0</v>
      </c>
      <c r="AG11" s="53">
        <f t="shared" si="8"/>
        <v>0.62096776995916947</v>
      </c>
      <c r="AH11" s="53">
        <f t="shared" si="9"/>
        <v>0.8</v>
      </c>
      <c r="AI11" s="55">
        <f t="shared" si="10"/>
        <v>0.74516132395100332</v>
      </c>
      <c r="AJ11" s="55">
        <f t="shared" si="10"/>
        <v>0.96</v>
      </c>
      <c r="AK11" s="55">
        <f t="shared" si="11"/>
        <v>0.97600825169094974</v>
      </c>
      <c r="AL11" s="55">
        <f t="shared" si="12"/>
        <v>1.008</v>
      </c>
      <c r="AM11" s="55">
        <f t="shared" si="0"/>
        <v>0.61889388411085056</v>
      </c>
      <c r="AN11" s="55">
        <f t="shared" si="1"/>
        <v>0.79558602983379723</v>
      </c>
      <c r="AO11" s="55">
        <f t="shared" si="2"/>
        <v>0.81573140314685566</v>
      </c>
      <c r="AP11" s="55">
        <f t="shared" si="3"/>
        <v>0.84199271802577591</v>
      </c>
      <c r="AQ11" s="55">
        <f>'31.12.2018'!AK11+'31.12.2018'!AL11</f>
        <v>2.3315999999999999</v>
      </c>
      <c r="AR11" s="55">
        <f>'31.12.2018'!P11+'31.12.2018'!R11+'31.12.2018'!AG11*1.2+'31.12.2018'!AH11*1.2</f>
        <v>2.7563679380779864</v>
      </c>
    </row>
    <row r="12" spans="1:44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29.277999999999999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3">
        <f t="shared" si="8"/>
        <v>0.98</v>
      </c>
      <c r="AH12" s="53">
        <f t="shared" si="9"/>
        <v>1.3</v>
      </c>
      <c r="AI12" s="55">
        <f t="shared" si="10"/>
        <v>1.1759999999999999</v>
      </c>
      <c r="AJ12" s="55">
        <f t="shared" si="10"/>
        <v>1.56</v>
      </c>
      <c r="AK12" s="55">
        <f t="shared" si="11"/>
        <v>1.1759999999999999</v>
      </c>
      <c r="AL12" s="55">
        <f t="shared" si="12"/>
        <v>1.56</v>
      </c>
      <c r="AM12" s="55">
        <f t="shared" si="0"/>
        <v>0.97989817704056492</v>
      </c>
      <c r="AN12" s="55">
        <f t="shared" si="1"/>
        <v>1.299988393108823</v>
      </c>
      <c r="AO12" s="55">
        <f t="shared" si="2"/>
        <v>0.98074142916150364</v>
      </c>
      <c r="AP12" s="55">
        <f t="shared" si="3"/>
        <v>1.2678339818417639</v>
      </c>
      <c r="AQ12" s="55">
        <f>'31.12.2018'!AK12+'31.12.2018'!AL12</f>
        <v>3.5256000000000003</v>
      </c>
      <c r="AR12" s="55">
        <f>'31.12.2018'!P12+'31.12.2018'!R12+'31.12.2018'!AG12*1.2+'31.12.2018'!AH12*1.2</f>
        <v>3.4727999999999994</v>
      </c>
    </row>
    <row r="13" spans="1:44" s="15" customFormat="1" x14ac:dyDescent="0.25">
      <c r="A13" s="61" t="s">
        <v>36</v>
      </c>
      <c r="B13" s="65">
        <v>36.872999999999998</v>
      </c>
      <c r="C13" s="65">
        <v>11.788</v>
      </c>
      <c r="D13" s="65">
        <v>0</v>
      </c>
      <c r="E13" s="65">
        <v>36.313000000000002</v>
      </c>
      <c r="F13" s="65">
        <v>7.87</v>
      </c>
      <c r="G13" s="65">
        <v>0</v>
      </c>
      <c r="H13" s="65"/>
      <c r="I13" s="65">
        <v>0.8</v>
      </c>
      <c r="J13" s="65">
        <v>0.8</v>
      </c>
      <c r="K13" s="65">
        <v>1.6</v>
      </c>
      <c r="L13" s="65">
        <v>1.6</v>
      </c>
      <c r="M13" s="65">
        <v>0.96</v>
      </c>
      <c r="N13" s="65">
        <v>0.96</v>
      </c>
      <c r="O13" s="65">
        <v>1.92</v>
      </c>
      <c r="P13" s="65">
        <v>1.92</v>
      </c>
      <c r="Q13" s="65">
        <v>25.811</v>
      </c>
      <c r="R13" s="65">
        <v>8.2520000000000007</v>
      </c>
      <c r="S13" s="65">
        <v>0</v>
      </c>
      <c r="T13" s="65">
        <v>53.38</v>
      </c>
      <c r="U13" s="65">
        <v>11.569000000000001</v>
      </c>
      <c r="V13" s="65"/>
      <c r="W13" s="65"/>
      <c r="X13" s="65"/>
      <c r="Y13" s="65"/>
      <c r="Z13" s="65"/>
      <c r="AA13" s="65"/>
      <c r="AB13" s="65"/>
      <c r="AC13" s="65">
        <f t="shared" si="4"/>
        <v>0</v>
      </c>
      <c r="AD13" s="65">
        <f t="shared" si="5"/>
        <v>0</v>
      </c>
      <c r="AE13" s="65">
        <f t="shared" si="6"/>
        <v>0</v>
      </c>
      <c r="AF13" s="65">
        <f t="shared" si="7"/>
        <v>0</v>
      </c>
      <c r="AG13" s="53">
        <f t="shared" si="8"/>
        <v>0.8</v>
      </c>
      <c r="AH13" s="53">
        <f t="shared" si="9"/>
        <v>1.6</v>
      </c>
      <c r="AI13" s="55">
        <f t="shared" si="10"/>
        <v>0.96</v>
      </c>
      <c r="AJ13" s="55">
        <f t="shared" si="10"/>
        <v>1.92</v>
      </c>
      <c r="AK13" s="55">
        <f t="shared" si="11"/>
        <v>0.96</v>
      </c>
      <c r="AL13" s="55">
        <f t="shared" si="12"/>
        <v>1.92</v>
      </c>
      <c r="AM13" s="66">
        <f t="shared" si="0"/>
        <v>0.69999728798850114</v>
      </c>
      <c r="AN13" s="66">
        <f t="shared" si="1"/>
        <v>1.4699969707818137</v>
      </c>
      <c r="AO13" s="66">
        <f t="shared" si="2"/>
        <v>0.70003393281303028</v>
      </c>
      <c r="AP13" s="66">
        <f t="shared" si="3"/>
        <v>1.470012706480305</v>
      </c>
      <c r="AQ13" s="55">
        <f>'31.12.2018'!AK13+'31.12.2018'!AL13</f>
        <v>3.456</v>
      </c>
      <c r="AR13" s="55">
        <f>'31.12.2018'!P13+'31.12.2018'!R13+'31.12.2018'!AG13*1.2+'31.12.2018'!AH13*1.2</f>
        <v>3.456</v>
      </c>
    </row>
    <row r="14" spans="1:44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4"/>
        <v>0</v>
      </c>
      <c r="AD14" s="53">
        <f t="shared" si="5"/>
        <v>0</v>
      </c>
      <c r="AE14" s="53">
        <f t="shared" si="6"/>
        <v>0</v>
      </c>
      <c r="AF14" s="53">
        <f t="shared" si="7"/>
        <v>0</v>
      </c>
      <c r="AG14" s="53">
        <f t="shared" si="8"/>
        <v>1.1499999999999999</v>
      </c>
      <c r="AH14" s="53">
        <f t="shared" si="9"/>
        <v>1.3</v>
      </c>
      <c r="AI14" s="55">
        <f t="shared" si="10"/>
        <v>1.38</v>
      </c>
      <c r="AJ14" s="55">
        <f t="shared" si="10"/>
        <v>1.56</v>
      </c>
      <c r="AK14" s="55">
        <f t="shared" si="11"/>
        <v>1.452</v>
      </c>
      <c r="AL14" s="55">
        <f t="shared" si="12"/>
        <v>1.5960000000000001</v>
      </c>
      <c r="AM14" s="55">
        <f t="shared" si="0"/>
        <v>1.1520338946782789</v>
      </c>
      <c r="AN14" s="55">
        <f t="shared" si="1"/>
        <v>1.3016703656114941</v>
      </c>
      <c r="AO14" s="55">
        <f t="shared" si="2"/>
        <v>1.2099607267705321</v>
      </c>
      <c r="AP14" s="55">
        <f t="shared" si="3"/>
        <v>1.3286790266512165</v>
      </c>
      <c r="AQ14" s="55">
        <f>'31.12.2018'!AK14+'31.12.2018'!AL14</f>
        <v>3.51</v>
      </c>
      <c r="AR14" s="55">
        <f>'31.12.2018'!P14+'31.12.2018'!R14+'31.12.2018'!AG14*1.2+'31.12.2018'!AH14*1.2</f>
        <v>3.6179999999999999</v>
      </c>
    </row>
    <row r="15" spans="1:44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5"/>
      <c r="AJ15" s="55"/>
      <c r="AK15" s="55"/>
      <c r="AL15" s="55"/>
      <c r="AM15" s="55"/>
      <c r="AN15" s="55"/>
      <c r="AO15" s="55"/>
      <c r="AP15" s="55"/>
      <c r="AQ15" s="55">
        <f>'31.12.2018'!AK15+'31.12.2018'!AL15</f>
        <v>4.2780000000000005</v>
      </c>
      <c r="AR15" s="55">
        <f>'31.12.2018'!P15+'31.12.2018'!R15+'31.12.2018'!AG15*1.2+'31.12.2018'!AH15*1.2</f>
        <v>4.2780000000000005</v>
      </c>
    </row>
    <row r="16" spans="1:44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4"/>
        <v>0.11849604637715984</v>
      </c>
      <c r="AD16" s="53">
        <f t="shared" si="5"/>
        <v>0.11882713454940048</v>
      </c>
      <c r="AE16" s="53">
        <f t="shared" si="6"/>
        <v>7.8722718617255022E-2</v>
      </c>
      <c r="AF16" s="53">
        <f t="shared" si="7"/>
        <v>6.5533099571828804E-2</v>
      </c>
      <c r="AG16" s="53">
        <f t="shared" si="8"/>
        <v>0.99849604637715983</v>
      </c>
      <c r="AH16" s="53">
        <f t="shared" si="9"/>
        <v>1.0288271345494004</v>
      </c>
      <c r="AI16" s="55">
        <f t="shared" si="10"/>
        <v>1.1981952556525917</v>
      </c>
      <c r="AJ16" s="55">
        <f t="shared" si="10"/>
        <v>1.2345925614592805</v>
      </c>
      <c r="AK16" s="55">
        <f t="shared" si="11"/>
        <v>1.150467262340706</v>
      </c>
      <c r="AL16" s="55">
        <f t="shared" si="12"/>
        <v>1.1706397194861946</v>
      </c>
      <c r="AM16" s="55">
        <f t="shared" si="0"/>
        <v>0.99849814896860367</v>
      </c>
      <c r="AN16" s="55">
        <f t="shared" si="1"/>
        <v>1.0288065780725819</v>
      </c>
      <c r="AO16" s="55">
        <f t="shared" si="2"/>
        <v>0.95872857770616671</v>
      </c>
      <c r="AP16" s="55">
        <f t="shared" si="3"/>
        <v>0.97554666713653904</v>
      </c>
      <c r="AQ16" s="55">
        <f>'31.12.2018'!AK16+'31.12.2018'!AL16</f>
        <v>2.9880000000000004</v>
      </c>
      <c r="AR16" s="55">
        <f>'31.12.2018'!P16+'31.12.2018'!R16+'31.12.2018'!AG16*1.2+'31.12.2018'!AH16*1.2</f>
        <v>2.988</v>
      </c>
    </row>
    <row r="17" spans="1:44" s="15" customFormat="1" x14ac:dyDescent="0.25">
      <c r="A17" s="61" t="s">
        <v>40</v>
      </c>
      <c r="B17" s="65">
        <v>48.48</v>
      </c>
      <c r="C17" s="65">
        <v>6.8789999999999996</v>
      </c>
      <c r="D17" s="65">
        <v>7.4999999999999997E-2</v>
      </c>
      <c r="E17" s="65">
        <v>46.804000000000002</v>
      </c>
      <c r="F17" s="65">
        <v>4.7789999999999999</v>
      </c>
      <c r="G17" s="65"/>
      <c r="H17" s="65"/>
      <c r="I17" s="65">
        <v>1.1399999999999999</v>
      </c>
      <c r="J17" s="65">
        <v>1.68</v>
      </c>
      <c r="K17" s="65">
        <v>1.68</v>
      </c>
      <c r="L17" s="65">
        <v>2.71</v>
      </c>
      <c r="M17" s="65">
        <v>1.3680000000000001</v>
      </c>
      <c r="N17" s="65">
        <v>2.016</v>
      </c>
      <c r="O17" s="65">
        <v>2.016</v>
      </c>
      <c r="P17" s="65">
        <v>3.2519999999999998</v>
      </c>
      <c r="Q17" s="65">
        <v>55.267000000000003</v>
      </c>
      <c r="R17" s="65">
        <v>11.557</v>
      </c>
      <c r="S17" s="65">
        <v>0.126</v>
      </c>
      <c r="T17" s="65">
        <v>78.631</v>
      </c>
      <c r="U17" s="65">
        <v>12.951000000000001</v>
      </c>
      <c r="V17" s="65">
        <v>0</v>
      </c>
      <c r="W17" s="65">
        <v>7.694</v>
      </c>
      <c r="X17" s="65">
        <v>0.33</v>
      </c>
      <c r="Y17" s="65">
        <v>1.9E-2</v>
      </c>
      <c r="Z17" s="65">
        <v>0</v>
      </c>
      <c r="AA17" s="65">
        <v>0</v>
      </c>
      <c r="AB17" s="65">
        <v>0</v>
      </c>
      <c r="AC17" s="65">
        <f t="shared" si="4"/>
        <v>0.15870462046204623</v>
      </c>
      <c r="AD17" s="65">
        <f t="shared" si="5"/>
        <v>0</v>
      </c>
      <c r="AE17" s="65">
        <f t="shared" si="6"/>
        <v>5.0186942766752951E-2</v>
      </c>
      <c r="AF17" s="65">
        <f t="shared" si="7"/>
        <v>0</v>
      </c>
      <c r="AG17" s="53">
        <f t="shared" si="8"/>
        <v>1.298704620462046</v>
      </c>
      <c r="AH17" s="53">
        <f t="shared" si="9"/>
        <v>1.68</v>
      </c>
      <c r="AI17" s="55">
        <f t="shared" si="10"/>
        <v>1.5584455445544552</v>
      </c>
      <c r="AJ17" s="55">
        <f t="shared" si="10"/>
        <v>2.016</v>
      </c>
      <c r="AK17" s="55">
        <f t="shared" si="11"/>
        <v>2.0762243313201032</v>
      </c>
      <c r="AL17" s="55">
        <f t="shared" si="12"/>
        <v>3.2519999999999998</v>
      </c>
      <c r="AM17" s="66">
        <f t="shared" si="0"/>
        <v>1.2987004950495051</v>
      </c>
      <c r="AN17" s="66">
        <f t="shared" si="1"/>
        <v>1.6800059823946671</v>
      </c>
      <c r="AO17" s="66">
        <f t="shared" si="2"/>
        <v>1.7280127925570579</v>
      </c>
      <c r="AP17" s="66">
        <f t="shared" si="3"/>
        <v>2.7099811676082863</v>
      </c>
      <c r="AQ17" s="55">
        <f>'31.12.2018'!AK17+'31.12.2018'!AL17</f>
        <v>3.9341367154714169</v>
      </c>
      <c r="AR17" s="55">
        <f>'31.12.2018'!P17+'31.12.2018'!R17+'31.12.2018'!AG17*1.2+'31.12.2018'!AH17*1.2</f>
        <v>5.5721889235195396</v>
      </c>
    </row>
    <row r="18" spans="1:44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>
        <v>0.84299999999999997</v>
      </c>
      <c r="AB18" s="53"/>
      <c r="AC18" s="53">
        <f t="shared" si="4"/>
        <v>6.9620980531868437E-2</v>
      </c>
      <c r="AD18" s="53">
        <f t="shared" si="5"/>
        <v>3.5452454816255349E-2</v>
      </c>
      <c r="AE18" s="53">
        <f t="shared" si="6"/>
        <v>6.6647452986526398E-2</v>
      </c>
      <c r="AF18" s="53">
        <f t="shared" si="7"/>
        <v>7.6448716786070556E-2</v>
      </c>
      <c r="AG18" s="53">
        <f t="shared" si="8"/>
        <v>1.0996209805318684</v>
      </c>
      <c r="AH18" s="53">
        <f t="shared" si="9"/>
        <v>1.0654524548162554</v>
      </c>
      <c r="AI18" s="55">
        <f t="shared" si="10"/>
        <v>1.319545176638242</v>
      </c>
      <c r="AJ18" s="55">
        <f t="shared" si="10"/>
        <v>1.2785429457795063</v>
      </c>
      <c r="AK18" s="55">
        <f t="shared" si="11"/>
        <v>1.0879769435838316</v>
      </c>
      <c r="AL18" s="55">
        <f t="shared" si="12"/>
        <v>1.0997384601432847</v>
      </c>
      <c r="AM18" s="55">
        <f t="shared" si="0"/>
        <v>0.51169926678465538</v>
      </c>
      <c r="AN18" s="55">
        <f t="shared" si="1"/>
        <v>1.0327977651216991</v>
      </c>
      <c r="AO18" s="55">
        <f t="shared" si="2"/>
        <v>0.87509244802366659</v>
      </c>
      <c r="AP18" s="55">
        <f t="shared" si="3"/>
        <v>0.86832320667452612</v>
      </c>
      <c r="AQ18" s="55">
        <f>'31.12.2018'!AK18+'31.12.2018'!AL18</f>
        <v>3.8279999999999994</v>
      </c>
      <c r="AR18" s="55">
        <f>'31.12.2018'!P18+'31.12.2018'!R18+'31.12.2018'!AG18*1.2+'31.12.2018'!AH18*1.2</f>
        <v>4.4039999999999999</v>
      </c>
    </row>
    <row r="19" spans="1:44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4"/>
        <v>0</v>
      </c>
      <c r="AD19" s="53">
        <f t="shared" si="5"/>
        <v>0</v>
      </c>
      <c r="AE19" s="53">
        <f t="shared" si="6"/>
        <v>0</v>
      </c>
      <c r="AF19" s="53">
        <f t="shared" si="7"/>
        <v>0</v>
      </c>
      <c r="AG19" s="53">
        <f t="shared" si="8"/>
        <v>0.88</v>
      </c>
      <c r="AH19" s="53">
        <f t="shared" si="9"/>
        <v>1.64</v>
      </c>
      <c r="AI19" s="55">
        <f t="shared" si="10"/>
        <v>1.056</v>
      </c>
      <c r="AJ19" s="55">
        <f t="shared" si="10"/>
        <v>1.9679999999999997</v>
      </c>
      <c r="AK19" s="55">
        <f t="shared" si="11"/>
        <v>1.272</v>
      </c>
      <c r="AL19" s="55">
        <f t="shared" si="12"/>
        <v>2.3639999999999999</v>
      </c>
      <c r="AM19" s="55">
        <f t="shared" si="0"/>
        <v>0.87942701671976364</v>
      </c>
      <c r="AN19" s="55">
        <f t="shared" si="1"/>
        <v>1.639238711141366</v>
      </c>
      <c r="AO19" s="55">
        <f t="shared" si="2"/>
        <v>1.0438565051643804</v>
      </c>
      <c r="AP19" s="55">
        <f t="shared" si="3"/>
        <v>1.8885325850953669</v>
      </c>
      <c r="AQ19" s="55">
        <f>'31.12.2018'!AK19+'31.12.2018'!AL19</f>
        <v>4.3680000000000003</v>
      </c>
      <c r="AR19" s="55">
        <f>'31.12.2018'!P19+'31.12.2018'!R19+'31.12.2018'!AG19*1.2+'31.12.2018'!AH19*1.2</f>
        <v>4.3680000000000003</v>
      </c>
    </row>
    <row r="20" spans="1:44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>
        <f t="shared" si="8"/>
        <v>0</v>
      </c>
      <c r="AH20" s="53">
        <f t="shared" si="9"/>
        <v>0</v>
      </c>
      <c r="AI20" s="55">
        <f t="shared" si="10"/>
        <v>0</v>
      </c>
      <c r="AJ20" s="55">
        <f t="shared" si="10"/>
        <v>0</v>
      </c>
      <c r="AK20" s="55">
        <f t="shared" si="11"/>
        <v>0</v>
      </c>
      <c r="AL20" s="55">
        <f t="shared" si="12"/>
        <v>0</v>
      </c>
      <c r="AM20" s="55"/>
      <c r="AN20" s="55"/>
      <c r="AO20" s="55"/>
      <c r="AP20" s="55"/>
      <c r="AQ20" s="55">
        <f>'31.12.2018'!AK20+'31.12.2018'!AL20</f>
        <v>3.1317410049739083</v>
      </c>
      <c r="AR20" s="55">
        <f>'31.12.2018'!P20+'31.12.2018'!R20+'31.12.2018'!AG20*1.2+'31.12.2018'!AH20*1.2</f>
        <v>3.741180175387671</v>
      </c>
    </row>
    <row r="21" spans="1:44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4"/>
        <v>5.9174293350611491E-3</v>
      </c>
      <c r="AD21" s="53">
        <f t="shared" si="5"/>
        <v>5.889227873654812E-3</v>
      </c>
      <c r="AE21" s="53">
        <f t="shared" si="6"/>
        <v>1.4628205774898577E-3</v>
      </c>
      <c r="AF21" s="53">
        <f t="shared" si="7"/>
        <v>9.4609936746499425E-4</v>
      </c>
      <c r="AG21" s="53">
        <f t="shared" si="8"/>
        <v>0.88369138252207013</v>
      </c>
      <c r="AH21" s="53">
        <f t="shared" si="9"/>
        <v>1.6710127549342522</v>
      </c>
      <c r="AI21" s="55">
        <f t="shared" si="10"/>
        <v>1.0604296590264841</v>
      </c>
      <c r="AJ21" s="55">
        <f t="shared" si="10"/>
        <v>2.0052153059211024</v>
      </c>
      <c r="AK21" s="55">
        <f t="shared" si="11"/>
        <v>1.1300613231680514</v>
      </c>
      <c r="AL21" s="55">
        <f t="shared" si="12"/>
        <v>2.5965659296102066</v>
      </c>
      <c r="AM21" s="55">
        <f t="shared" si="0"/>
        <v>0.88369138252207025</v>
      </c>
      <c r="AN21" s="55">
        <f t="shared" si="1"/>
        <v>1.6710127549342522</v>
      </c>
      <c r="AO21" s="55">
        <f t="shared" si="2"/>
        <v>0.94171776930670958</v>
      </c>
      <c r="AP21" s="55">
        <f t="shared" si="3"/>
        <v>2.1638049413418394</v>
      </c>
      <c r="AQ21" s="55">
        <f>'31.12.2018'!AK21+'31.12.2018'!AL21</f>
        <v>3.8159999999999998</v>
      </c>
      <c r="AR21" s="55">
        <f>'31.12.2018'!P21+'31.12.2018'!R21+'31.12.2018'!AG21*1.2+'31.12.2018'!AH21*1.2</f>
        <v>3.8159999999999998</v>
      </c>
    </row>
    <row r="22" spans="1:44" s="15" customFormat="1" x14ac:dyDescent="0.25">
      <c r="A22" s="61" t="s">
        <v>45</v>
      </c>
      <c r="B22" s="65">
        <v>27.053999999999998</v>
      </c>
      <c r="C22" s="65">
        <v>8.9260000000000002</v>
      </c>
      <c r="D22" s="65">
        <v>0</v>
      </c>
      <c r="E22" s="65">
        <v>24.202999999999999</v>
      </c>
      <c r="F22" s="65">
        <v>3.0680000000000001</v>
      </c>
      <c r="G22" s="65">
        <v>0</v>
      </c>
      <c r="H22" s="65"/>
      <c r="I22" s="65">
        <v>0.8</v>
      </c>
      <c r="J22" s="65">
        <v>0.8</v>
      </c>
      <c r="K22" s="65">
        <v>1.1399999999999999</v>
      </c>
      <c r="L22" s="65">
        <v>1.1399999999999999</v>
      </c>
      <c r="M22" s="65">
        <v>0.96</v>
      </c>
      <c r="N22" s="65">
        <v>0.96</v>
      </c>
      <c r="O22" s="65">
        <v>1.37</v>
      </c>
      <c r="P22" s="65">
        <v>1.37</v>
      </c>
      <c r="Q22" s="65">
        <v>20.622</v>
      </c>
      <c r="R22" s="65">
        <v>8.1769999999999996</v>
      </c>
      <c r="S22" s="65">
        <v>0</v>
      </c>
      <c r="T22" s="65">
        <v>26.148</v>
      </c>
      <c r="U22" s="65">
        <v>4.976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f t="shared" si="4"/>
        <v>0</v>
      </c>
      <c r="AD22" s="65">
        <f t="shared" si="5"/>
        <v>0</v>
      </c>
      <c r="AE22" s="65">
        <f t="shared" si="6"/>
        <v>0</v>
      </c>
      <c r="AF22" s="65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 t="shared" si="10"/>
        <v>0.96</v>
      </c>
      <c r="AJ22" s="55">
        <f t="shared" si="10"/>
        <v>1.3679999999999999</v>
      </c>
      <c r="AK22" s="55">
        <f t="shared" si="11"/>
        <v>0.96</v>
      </c>
      <c r="AL22" s="55">
        <f t="shared" si="12"/>
        <v>1.3679999999999999</v>
      </c>
      <c r="AM22" s="66">
        <f t="shared" si="0"/>
        <v>0.76225327123530717</v>
      </c>
      <c r="AN22" s="66">
        <f t="shared" si="1"/>
        <v>1.0803619386026526</v>
      </c>
      <c r="AO22" s="66">
        <f t="shared" si="2"/>
        <v>0.9160878332959892</v>
      </c>
      <c r="AP22" s="66">
        <f t="shared" si="3"/>
        <v>1.621903520208605</v>
      </c>
      <c r="AQ22" s="55">
        <f>'31.12.2018'!AK22+'31.12.2018'!AL22</f>
        <v>3.6</v>
      </c>
      <c r="AR22" s="55">
        <f>'31.12.2018'!P22+'31.12.2018'!R22+'31.12.2018'!AG22*1.2+'31.12.2018'!AH22*1.2</f>
        <v>3.6</v>
      </c>
    </row>
    <row r="23" spans="1:44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 t="shared" si="10"/>
        <v>1.3320000000000001</v>
      </c>
      <c r="AJ23" s="55">
        <f t="shared" si="10"/>
        <v>1.704</v>
      </c>
      <c r="AK23" s="55">
        <f t="shared" si="11"/>
        <v>1.3320000000000001</v>
      </c>
      <c r="AL23" s="55">
        <f t="shared" si="12"/>
        <v>1.704</v>
      </c>
      <c r="AM23" s="55">
        <f t="shared" si="0"/>
        <v>1.0845812438757276</v>
      </c>
      <c r="AN23" s="55">
        <f t="shared" si="1"/>
        <v>1.373533830622842</v>
      </c>
      <c r="AO23" s="55">
        <f t="shared" si="2"/>
        <v>1.080019864260884</v>
      </c>
      <c r="AP23" s="55">
        <f t="shared" si="3"/>
        <v>1.3716961563845502</v>
      </c>
      <c r="AQ23" s="55">
        <f>'31.12.2018'!AK23+'31.12.2018'!AL23</f>
        <v>4.1496665493426397</v>
      </c>
      <c r="AR23" s="55">
        <f>'31.12.2018'!P23+'31.12.2018'!R23+'31.12.2018'!AG23*1.2+'31.12.2018'!AH23*1.2</f>
        <v>4.7004000000000001</v>
      </c>
    </row>
    <row r="24" spans="1:44" s="15" customFormat="1" x14ac:dyDescent="0.25">
      <c r="A24" s="61" t="s">
        <v>47</v>
      </c>
      <c r="B24" s="65">
        <v>65.808000000000007</v>
      </c>
      <c r="C24" s="65">
        <v>30.744</v>
      </c>
      <c r="D24" s="65">
        <v>0</v>
      </c>
      <c r="E24" s="65">
        <v>62.63</v>
      </c>
      <c r="F24" s="65">
        <v>20.655000000000001</v>
      </c>
      <c r="G24" s="65"/>
      <c r="H24" s="65"/>
      <c r="I24" s="65">
        <v>0.89</v>
      </c>
      <c r="J24" s="65">
        <v>1.28</v>
      </c>
      <c r="K24" s="65">
        <v>0.89</v>
      </c>
      <c r="L24" s="65">
        <v>1.28</v>
      </c>
      <c r="M24" s="65">
        <v>1.0680000000000001</v>
      </c>
      <c r="N24" s="65">
        <v>1.536</v>
      </c>
      <c r="O24" s="65">
        <v>1.0680000000000001</v>
      </c>
      <c r="P24" s="65">
        <v>1.536</v>
      </c>
      <c r="Q24" s="65">
        <v>58.569000000000003</v>
      </c>
      <c r="R24" s="65">
        <v>39.351999999999997</v>
      </c>
      <c r="S24" s="65">
        <v>0</v>
      </c>
      <c r="T24" s="65">
        <v>56.006</v>
      </c>
      <c r="U24" s="65">
        <v>30.353000000000002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f t="shared" si="4"/>
        <v>0</v>
      </c>
      <c r="AD24" s="65">
        <f t="shared" si="5"/>
        <v>0</v>
      </c>
      <c r="AE24" s="65">
        <f t="shared" si="6"/>
        <v>0</v>
      </c>
      <c r="AF24" s="65">
        <f t="shared" si="7"/>
        <v>0</v>
      </c>
      <c r="AG24" s="53">
        <f t="shared" si="8"/>
        <v>0.89</v>
      </c>
      <c r="AH24" s="53">
        <f t="shared" si="9"/>
        <v>0.89</v>
      </c>
      <c r="AI24" s="55">
        <f t="shared" si="10"/>
        <v>1.0680000000000001</v>
      </c>
      <c r="AJ24" s="55">
        <f t="shared" si="10"/>
        <v>1.0680000000000001</v>
      </c>
      <c r="AK24" s="55">
        <f t="shared" si="11"/>
        <v>1.536</v>
      </c>
      <c r="AL24" s="55">
        <f t="shared" si="12"/>
        <v>1.536</v>
      </c>
      <c r="AM24" s="66">
        <f t="shared" si="0"/>
        <v>0.88999817651349378</v>
      </c>
      <c r="AN24" s="66">
        <f t="shared" si="1"/>
        <v>0.8942359891425834</v>
      </c>
      <c r="AO24" s="66">
        <f t="shared" si="2"/>
        <v>1.2799895914650012</v>
      </c>
      <c r="AP24" s="66">
        <f t="shared" si="3"/>
        <v>1.469523117889131</v>
      </c>
      <c r="AQ24" s="55">
        <f>'31.12.2018'!AK24+'31.12.2018'!AL24</f>
        <v>2.7</v>
      </c>
      <c r="AR24" s="55">
        <f>'31.12.2018'!P24+'31.12.2018'!R24+'31.12.2018'!AG24*1.2+'31.12.2018'!AH24*1.2</f>
        <v>2.7</v>
      </c>
    </row>
    <row r="25" spans="1:44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 t="shared" si="10"/>
        <v>0.89999999999999991</v>
      </c>
      <c r="AJ25" s="55">
        <f t="shared" si="10"/>
        <v>1.488</v>
      </c>
      <c r="AK25" s="55">
        <f t="shared" si="11"/>
        <v>0.89999999999999991</v>
      </c>
      <c r="AL25" s="55">
        <f t="shared" si="12"/>
        <v>1.488</v>
      </c>
      <c r="AM25" s="55">
        <f t="shared" si="0"/>
        <v>0.75615624673314896</v>
      </c>
      <c r="AN25" s="55">
        <f t="shared" si="1"/>
        <v>1.2315762399589876</v>
      </c>
      <c r="AO25" s="55">
        <f t="shared" si="2"/>
        <v>0.65771646125267458</v>
      </c>
      <c r="AP25" s="55">
        <f t="shared" si="3"/>
        <v>1.1102469659745284</v>
      </c>
      <c r="AQ25" s="55">
        <f>'31.12.2018'!AK25+'31.12.2018'!AL25</f>
        <v>3.516</v>
      </c>
      <c r="AR25" s="55">
        <f>'31.12.2018'!P25+'31.12.2018'!R25+'31.12.2018'!AG25*1.2+'31.12.2018'!AH25*1.2</f>
        <v>3.7800000000000002</v>
      </c>
    </row>
    <row r="26" spans="1:44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 t="shared" si="10"/>
        <v>1.1399999999999999</v>
      </c>
      <c r="AJ26" s="55">
        <f t="shared" si="10"/>
        <v>1.44</v>
      </c>
      <c r="AK26" s="55">
        <f t="shared" si="11"/>
        <v>1.26</v>
      </c>
      <c r="AL26" s="55">
        <f t="shared" si="12"/>
        <v>1.62</v>
      </c>
      <c r="AM26" s="55">
        <f>(Q26+W26)/B26</f>
        <v>0.94997561885093085</v>
      </c>
      <c r="AN26" s="55">
        <f>(T26+Z26)/E26</f>
        <v>1.199990389697756</v>
      </c>
      <c r="AO26" s="55">
        <f>(R26+X26)/C26</f>
        <v>1.0500039249548629</v>
      </c>
      <c r="AP26" s="55">
        <f>(U26+V26+AA26+AB26)/(F26+G26)</f>
        <v>1.4598601909633748</v>
      </c>
      <c r="AQ26" s="55">
        <f>'31.12.2018'!AK26+'31.12.2018'!AL26</f>
        <v>2.6760000000000002</v>
      </c>
      <c r="AR26" s="55">
        <f>'31.12.2018'!P26+'31.12.2018'!R26+'31.12.2018'!AG26*1.2+'31.12.2018'!AH26*1.2</f>
        <v>3.1679999999999997</v>
      </c>
    </row>
    <row r="27" spans="1:44" s="15" customFormat="1" x14ac:dyDescent="0.25">
      <c r="A27" s="64" t="s">
        <v>50</v>
      </c>
      <c r="B27" s="65">
        <v>86.088999999999999</v>
      </c>
      <c r="C27" s="65">
        <v>29.715</v>
      </c>
      <c r="D27" s="65">
        <v>1.278</v>
      </c>
      <c r="E27" s="65">
        <v>82.031999999999996</v>
      </c>
      <c r="F27" s="65">
        <v>161.767</v>
      </c>
      <c r="G27" s="65">
        <v>6.4000000000000001E-2</v>
      </c>
      <c r="H27" s="65"/>
      <c r="I27" s="65">
        <v>0.62</v>
      </c>
      <c r="J27" s="65">
        <v>0.9</v>
      </c>
      <c r="K27" s="65">
        <v>1.22</v>
      </c>
      <c r="L27" s="65">
        <v>1.38</v>
      </c>
      <c r="M27" s="65">
        <f>I27*1.2</f>
        <v>0.74399999999999999</v>
      </c>
      <c r="N27" s="65">
        <f>J27*1.2</f>
        <v>1.08</v>
      </c>
      <c r="O27" s="65">
        <f>K27*1.2</f>
        <v>1.464</v>
      </c>
      <c r="P27" s="65">
        <f>L27*1.2</f>
        <v>1.6559999999999999</v>
      </c>
      <c r="Q27" s="65">
        <v>53.636000000000003</v>
      </c>
      <c r="R27" s="65">
        <v>26.614999999999998</v>
      </c>
      <c r="S27" s="65">
        <v>1.1499999999999999</v>
      </c>
      <c r="T27" s="65">
        <v>100.179</v>
      </c>
      <c r="U27" s="65">
        <v>239.465</v>
      </c>
      <c r="V27" s="65">
        <v>8.7999999999999995E-2</v>
      </c>
      <c r="W27" s="65"/>
      <c r="X27" s="65"/>
      <c r="Y27" s="65"/>
      <c r="Z27" s="65"/>
      <c r="AA27" s="65"/>
      <c r="AB27" s="65"/>
      <c r="AC27" s="65">
        <f t="shared" si="4"/>
        <v>0</v>
      </c>
      <c r="AD27" s="65">
        <f t="shared" si="5"/>
        <v>0</v>
      </c>
      <c r="AE27" s="65">
        <f t="shared" si="6"/>
        <v>0</v>
      </c>
      <c r="AF27" s="65">
        <f t="shared" si="7"/>
        <v>0</v>
      </c>
      <c r="AG27" s="53">
        <f t="shared" si="8"/>
        <v>0.62</v>
      </c>
      <c r="AH27" s="53">
        <f t="shared" si="9"/>
        <v>1.22</v>
      </c>
      <c r="AI27" s="55">
        <f t="shared" si="10"/>
        <v>0.74399999999999999</v>
      </c>
      <c r="AJ27" s="55">
        <f t="shared" si="10"/>
        <v>1.464</v>
      </c>
      <c r="AK27" s="55">
        <f t="shared" si="11"/>
        <v>1.08</v>
      </c>
      <c r="AL27" s="55">
        <f t="shared" si="12"/>
        <v>1.6559999999999999</v>
      </c>
      <c r="AM27" s="66">
        <f t="shared" ref="AM27:AM42" si="28">(Q27+W27)/B27</f>
        <v>0.62302965535666577</v>
      </c>
      <c r="AN27" s="66">
        <f t="shared" ref="AN27:AN42" si="29">(T27+Z27)/E27</f>
        <v>1.221218548858982</v>
      </c>
      <c r="AO27" s="66">
        <f t="shared" ref="AO27:AO42" si="30">(R27+X27)/C27</f>
        <v>0.89567558472152109</v>
      </c>
      <c r="AP27" s="66">
        <f t="shared" ref="AP27:AP42" si="31">(U27+V27+AA27+AB27)/(F27+G27)</f>
        <v>1.4802664508036163</v>
      </c>
      <c r="AQ27" s="55">
        <f>'31.12.2018'!AK27+'31.12.2018'!AL27</f>
        <v>2.82</v>
      </c>
      <c r="AR27" s="55">
        <f>'31.12.2018'!P27+'31.12.2018'!R27+'31.12.2018'!AG27*1.2+'31.12.2018'!AH27*1.2</f>
        <v>2.82</v>
      </c>
    </row>
    <row r="28" spans="1:44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 t="shared" si="10"/>
        <v>0.91679999999999995</v>
      </c>
      <c r="AJ28" s="55">
        <f t="shared" si="10"/>
        <v>0.77400000000000002</v>
      </c>
      <c r="AK28" s="55">
        <f t="shared" si="11"/>
        <v>0.91679999999999995</v>
      </c>
      <c r="AL28" s="55">
        <f t="shared" si="12"/>
        <v>0.77400000000000002</v>
      </c>
      <c r="AM28" s="55">
        <f t="shared" si="28"/>
        <v>0.76399873769748139</v>
      </c>
      <c r="AN28" s="55">
        <f t="shared" si="29"/>
        <v>0.64499962748652739</v>
      </c>
      <c r="AO28" s="55">
        <f t="shared" si="30"/>
        <v>0.76400345399595515</v>
      </c>
      <c r="AP28" s="55">
        <f t="shared" si="31"/>
        <v>0.64499891706945289</v>
      </c>
      <c r="AQ28" s="55">
        <f>'31.12.2018'!AK28+'31.12.2018'!AL28</f>
        <v>2.2799999999999998</v>
      </c>
      <c r="AR28" s="55">
        <f>'31.12.2018'!P28+'31.12.2018'!R28+'31.12.2018'!AG28*1.2+'31.12.2018'!AH28*1.2</f>
        <v>2.2800000000000002</v>
      </c>
    </row>
    <row r="29" spans="1:44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/>
      <c r="AP29" s="55"/>
      <c r="AQ29" s="55" t="e">
        <f>'31.12.2018'!AK29+'31.12.2018'!AL29</f>
        <v>#DIV/0!</v>
      </c>
      <c r="AR29" s="55" t="e">
        <f>'31.12.2018'!P29+'31.12.2018'!R29+'31.12.2018'!AG29*1.2+'31.12.2018'!AH29*1.2</f>
        <v>#DIV/0!</v>
      </c>
    </row>
    <row r="30" spans="1:44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/>
      <c r="AP30" s="55"/>
      <c r="AQ30" s="55">
        <f>'31.12.2018'!AK30+'31.12.2018'!AL30</f>
        <v>2.7004685138539042</v>
      </c>
      <c r="AR30" s="55">
        <f>'31.12.2018'!P30+'31.12.2018'!R30+'31.12.2018'!AG30*1.2+'31.12.2018'!AH30*1.2</f>
        <v>2.6939164188448892</v>
      </c>
    </row>
    <row r="31" spans="1:44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 t="shared" si="10"/>
        <v>0.85199999999999998</v>
      </c>
      <c r="AJ31" s="55">
        <f t="shared" si="10"/>
        <v>1.1279999999999999</v>
      </c>
      <c r="AK31" s="55">
        <f t="shared" si="11"/>
        <v>0.85199999999999998</v>
      </c>
      <c r="AL31" s="55">
        <f t="shared" si="12"/>
        <v>1.1279999999999999</v>
      </c>
      <c r="AM31" s="55">
        <f t="shared" si="28"/>
        <v>0.72615968478812642</v>
      </c>
      <c r="AN31" s="55">
        <f t="shared" si="29"/>
        <v>0.91472088969194165</v>
      </c>
      <c r="AO31" s="55">
        <f t="shared" si="30"/>
        <v>0.71665866739007955</v>
      </c>
      <c r="AP31" s="55">
        <f t="shared" si="31"/>
        <v>0.93633352400462933</v>
      </c>
      <c r="AQ31" s="55">
        <f>'31.12.2018'!AK31+'31.12.2018'!AL31</f>
        <v>3.0804</v>
      </c>
      <c r="AR31" s="55">
        <f>'31.12.2018'!P31+'31.12.2018'!R31+'31.12.2018'!AG31*1.2+'31.12.2018'!AH31*1.2</f>
        <v>4.0944000000000003</v>
      </c>
    </row>
    <row r="32" spans="1:44" s="15" customFormat="1" x14ac:dyDescent="0.25">
      <c r="A32" s="61" t="s">
        <v>55</v>
      </c>
      <c r="B32" s="65">
        <v>64.039000000000001</v>
      </c>
      <c r="C32" s="65">
        <v>43.48</v>
      </c>
      <c r="D32" s="65"/>
      <c r="E32" s="65">
        <v>50.304000000000002</v>
      </c>
      <c r="F32" s="65">
        <v>116.218</v>
      </c>
      <c r="G32" s="65"/>
      <c r="H32" s="65"/>
      <c r="I32" s="65">
        <v>1.1399999999999999</v>
      </c>
      <c r="J32" s="65">
        <v>1.29</v>
      </c>
      <c r="K32" s="65">
        <v>1.1399999999999999</v>
      </c>
      <c r="L32" s="65">
        <v>2</v>
      </c>
      <c r="M32" s="65">
        <v>1.3680000000000001</v>
      </c>
      <c r="N32" s="65">
        <v>1.548</v>
      </c>
      <c r="O32" s="65">
        <v>1.3680000000000001</v>
      </c>
      <c r="P32" s="65">
        <v>2.4</v>
      </c>
      <c r="Q32" s="65">
        <v>72.759</v>
      </c>
      <c r="R32" s="65">
        <v>56.183</v>
      </c>
      <c r="S32" s="65"/>
      <c r="T32" s="65">
        <v>57.56</v>
      </c>
      <c r="U32" s="65">
        <v>232.012</v>
      </c>
      <c r="V32" s="65"/>
      <c r="W32" s="65"/>
      <c r="X32" s="65"/>
      <c r="Y32" s="65"/>
      <c r="Z32" s="65"/>
      <c r="AA32" s="65"/>
      <c r="AB32" s="65"/>
      <c r="AC32" s="65">
        <v>0</v>
      </c>
      <c r="AD32" s="65">
        <v>0</v>
      </c>
      <c r="AE32" s="65">
        <v>0</v>
      </c>
      <c r="AF32" s="65">
        <v>0</v>
      </c>
      <c r="AG32" s="53">
        <f t="shared" si="8"/>
        <v>1.1399999999999999</v>
      </c>
      <c r="AH32" s="53">
        <f t="shared" si="9"/>
        <v>1.1399999999999999</v>
      </c>
      <c r="AI32" s="55">
        <f t="shared" si="10"/>
        <v>1.3679999999999999</v>
      </c>
      <c r="AJ32" s="55">
        <f t="shared" si="10"/>
        <v>1.3679999999999999</v>
      </c>
      <c r="AK32" s="55">
        <f t="shared" si="11"/>
        <v>1.548</v>
      </c>
      <c r="AL32" s="55">
        <f t="shared" si="12"/>
        <v>2.4</v>
      </c>
      <c r="AM32" s="66">
        <f t="shared" si="28"/>
        <v>1.1361670232202252</v>
      </c>
      <c r="AN32" s="66">
        <f t="shared" si="29"/>
        <v>1.1442430025445292</v>
      </c>
      <c r="AO32" s="66">
        <f t="shared" si="30"/>
        <v>1.2921573137074518</v>
      </c>
      <c r="AP32" s="66">
        <f t="shared" si="31"/>
        <v>1.9963516839043864</v>
      </c>
      <c r="AQ32" s="55">
        <f>'31.12.2018'!AK32+'31.12.2018'!AL32</f>
        <v>2.1120000000000001</v>
      </c>
      <c r="AR32" s="55">
        <f>'31.12.2018'!P32+'31.12.2018'!R32+'31.12.2018'!AG32*1.2+'31.12.2018'!AH32*1.2</f>
        <v>2.4239999999999999</v>
      </c>
    </row>
    <row r="33" spans="1:44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 t="shared" si="10"/>
        <v>0.92399999999999993</v>
      </c>
      <c r="AJ33" s="55">
        <f t="shared" si="10"/>
        <v>0.70799999999999996</v>
      </c>
      <c r="AK33" s="55">
        <f t="shared" si="11"/>
        <v>1.0680000000000001</v>
      </c>
      <c r="AL33" s="55">
        <f t="shared" si="12"/>
        <v>0.89999999999999991</v>
      </c>
      <c r="AM33" s="55">
        <f t="shared" si="28"/>
        <v>0.76098776051466765</v>
      </c>
      <c r="AN33" s="55">
        <f t="shared" si="29"/>
        <v>0.58309961193879967</v>
      </c>
      <c r="AO33" s="55">
        <f t="shared" si="30"/>
        <v>0.89000139840581727</v>
      </c>
      <c r="AP33" s="55">
        <f t="shared" si="31"/>
        <v>0.85747002559612018</v>
      </c>
      <c r="AQ33" s="55">
        <f>'31.12.2018'!AK33+'31.12.2018'!AL33</f>
        <v>3.3719999999999999</v>
      </c>
      <c r="AR33" s="55">
        <f>'31.12.2018'!P33+'31.12.2018'!R33+'31.12.2018'!AG33*1.2+'31.12.2018'!AH33*1.2</f>
        <v>5.6280000000000001</v>
      </c>
    </row>
    <row r="34" spans="1:44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 t="shared" si="10"/>
        <v>1.0680000000000001</v>
      </c>
      <c r="AJ34" s="55">
        <f t="shared" si="10"/>
        <v>1.5840000000000001</v>
      </c>
      <c r="AK34" s="55">
        <f t="shared" si="11"/>
        <v>2.028</v>
      </c>
      <c r="AL34" s="55">
        <f t="shared" si="12"/>
        <v>3.0359999999999996</v>
      </c>
      <c r="AM34" s="55">
        <f t="shared" si="28"/>
        <v>0.91588165515316444</v>
      </c>
      <c r="AN34" s="55">
        <f t="shared" si="29"/>
        <v>1.3636522205823158</v>
      </c>
      <c r="AO34" s="55">
        <f t="shared" si="30"/>
        <v>1.540762331838565</v>
      </c>
      <c r="AP34" s="55">
        <f t="shared" si="31"/>
        <v>2.2919541323690349</v>
      </c>
      <c r="AQ34" s="55">
        <f>'31.12.2018'!AK34+'31.12.2018'!AL34</f>
        <v>2.0759999999999996</v>
      </c>
      <c r="AR34" s="55">
        <f>'31.12.2018'!P34+'31.12.2018'!R34+'31.12.2018'!AG34*1.2+'31.12.2018'!AH34*1.2</f>
        <v>4.84</v>
      </c>
    </row>
    <row r="35" spans="1:44" s="15" customFormat="1" x14ac:dyDescent="0.25">
      <c r="A35" s="61" t="s">
        <v>58</v>
      </c>
      <c r="B35" s="65">
        <v>6860</v>
      </c>
      <c r="C35" s="65">
        <v>2735</v>
      </c>
      <c r="D35" s="65">
        <v>0</v>
      </c>
      <c r="E35" s="65">
        <v>6832</v>
      </c>
      <c r="F35" s="65">
        <v>5116</v>
      </c>
      <c r="G35" s="65">
        <v>0</v>
      </c>
      <c r="H35" s="65">
        <v>10903</v>
      </c>
      <c r="I35" s="65">
        <v>0.95</v>
      </c>
      <c r="J35" s="65">
        <v>2.3199999999999998</v>
      </c>
      <c r="K35" s="65">
        <v>0.78</v>
      </c>
      <c r="L35" s="65">
        <v>1.72</v>
      </c>
      <c r="M35" s="65">
        <v>1.1399999999999999</v>
      </c>
      <c r="N35" s="65">
        <v>2.78</v>
      </c>
      <c r="O35" s="65">
        <v>0.94</v>
      </c>
      <c r="P35" s="65">
        <v>2.06</v>
      </c>
      <c r="Q35" s="65">
        <v>6517</v>
      </c>
      <c r="R35" s="65">
        <v>5806</v>
      </c>
      <c r="S35" s="65">
        <v>0</v>
      </c>
      <c r="T35" s="65">
        <v>5329</v>
      </c>
      <c r="U35" s="65">
        <v>7493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f t="shared" si="4"/>
        <v>0</v>
      </c>
      <c r="AD35" s="65">
        <f t="shared" si="5"/>
        <v>0</v>
      </c>
      <c r="AE35" s="65">
        <f t="shared" si="6"/>
        <v>0</v>
      </c>
      <c r="AF35" s="65">
        <f t="shared" si="7"/>
        <v>0</v>
      </c>
      <c r="AG35" s="53">
        <f t="shared" si="8"/>
        <v>0.95</v>
      </c>
      <c r="AH35" s="53">
        <f t="shared" si="9"/>
        <v>0.78</v>
      </c>
      <c r="AI35" s="55">
        <f t="shared" si="10"/>
        <v>1.1399999999999999</v>
      </c>
      <c r="AJ35" s="55">
        <f t="shared" si="10"/>
        <v>0.93599999999999994</v>
      </c>
      <c r="AK35" s="55">
        <f t="shared" si="11"/>
        <v>2.7839999999999998</v>
      </c>
      <c r="AL35" s="55">
        <f t="shared" si="12"/>
        <v>2.0640000000000001</v>
      </c>
      <c r="AM35" s="66">
        <f t="shared" si="28"/>
        <v>0.95</v>
      </c>
      <c r="AN35" s="66">
        <f t="shared" si="29"/>
        <v>0.78000585480093676</v>
      </c>
      <c r="AO35" s="66">
        <f t="shared" si="30"/>
        <v>2.122851919561243</v>
      </c>
      <c r="AP35" s="66">
        <f t="shared" si="31"/>
        <v>1.4646207974980454</v>
      </c>
      <c r="AQ35" s="55">
        <f>'31.12.2018'!AK35+'31.12.2018'!AL35</f>
        <v>2.496</v>
      </c>
      <c r="AR35" s="55">
        <f>'31.12.2018'!P35+'31.12.2018'!R35+'31.12.2018'!AG35*1.2+'31.12.2018'!AH35*1.2</f>
        <v>2.9039999999999999</v>
      </c>
    </row>
    <row r="36" spans="1:44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 t="shared" si="10"/>
        <v>1.0680000000000001</v>
      </c>
      <c r="AJ36" s="55">
        <f t="shared" si="10"/>
        <v>1.3559999999999999</v>
      </c>
      <c r="AK36" s="55">
        <f t="shared" si="11"/>
        <v>1.26</v>
      </c>
      <c r="AL36" s="55">
        <f t="shared" si="12"/>
        <v>1.5960000000000001</v>
      </c>
      <c r="AM36" s="55">
        <f t="shared" si="28"/>
        <v>0.89198693402935159</v>
      </c>
      <c r="AN36" s="55">
        <f t="shared" si="29"/>
        <v>1.125046284051838</v>
      </c>
      <c r="AO36" s="55">
        <f t="shared" si="30"/>
        <v>1.0499937382592361</v>
      </c>
      <c r="AP36" s="55">
        <f t="shared" si="31"/>
        <v>1.3250159948816378</v>
      </c>
      <c r="AQ36" s="55">
        <f>'31.12.2018'!AK36+'31.12.2018'!AL36</f>
        <v>2.0352000000000001</v>
      </c>
      <c r="AR36" s="55">
        <f>'31.12.2018'!P36+'31.12.2018'!R36+'31.12.2018'!AG36*1.2+'31.12.2018'!AH36*1.2</f>
        <v>2.0350000000000001</v>
      </c>
    </row>
    <row r="37" spans="1:44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 t="shared" si="10"/>
        <v>0.69599999999999995</v>
      </c>
      <c r="AJ37" s="55">
        <f t="shared" si="10"/>
        <v>1.2</v>
      </c>
      <c r="AK37" s="55">
        <f t="shared" si="11"/>
        <v>0.69599999999999995</v>
      </c>
      <c r="AL37" s="55">
        <f t="shared" si="12"/>
        <v>1.2</v>
      </c>
      <c r="AM37" s="55">
        <f t="shared" si="28"/>
        <v>0.58041581642691309</v>
      </c>
      <c r="AN37" s="55">
        <f t="shared" si="29"/>
        <v>1.0000077174352295</v>
      </c>
      <c r="AO37" s="55">
        <f t="shared" si="30"/>
        <v>0.58043368497948133</v>
      </c>
      <c r="AP37" s="55">
        <f t="shared" si="31"/>
        <v>1.3255250168251249</v>
      </c>
      <c r="AQ37" s="55">
        <f>'31.12.2018'!AK37+'31.12.2018'!AL37</f>
        <v>3.8810427737466915</v>
      </c>
      <c r="AR37" s="55">
        <f>'31.12.2018'!P37+'31.12.2018'!R37+'31.12.2018'!AG37*1.2+'31.12.2018'!AH37*1.2</f>
        <v>3.9005138193684235</v>
      </c>
    </row>
    <row r="38" spans="1:44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 t="shared" si="10"/>
        <v>0.96479999999999999</v>
      </c>
      <c r="AJ38" s="55">
        <f t="shared" si="10"/>
        <v>1.0835999999999999</v>
      </c>
      <c r="AK38" s="55">
        <f t="shared" si="11"/>
        <v>1.1556</v>
      </c>
      <c r="AL38" s="55">
        <f t="shared" si="12"/>
        <v>1.2624</v>
      </c>
      <c r="AM38" s="55">
        <f t="shared" si="28"/>
        <v>0.79768577372009708</v>
      </c>
      <c r="AN38" s="55">
        <f t="shared" si="29"/>
        <v>0.90181023221093604</v>
      </c>
      <c r="AO38" s="55">
        <f t="shared" si="30"/>
        <v>0.95315272684254126</v>
      </c>
      <c r="AP38" s="55">
        <f t="shared" si="31"/>
        <v>1.0535346012832263</v>
      </c>
      <c r="AQ38" s="55">
        <f>'31.12.2018'!AK38+'31.12.2018'!AL38</f>
        <v>2.9939999999999998</v>
      </c>
      <c r="AR38" s="55">
        <f>'31.12.2018'!P38+'31.12.2018'!R38+'31.12.2018'!AG38*1.2+'31.12.2018'!AH38*1.2</f>
        <v>3.258</v>
      </c>
    </row>
    <row r="39" spans="1:44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 t="shared" si="10"/>
        <v>1.212</v>
      </c>
      <c r="AJ39" s="55">
        <f t="shared" si="10"/>
        <v>1.4159999999999999</v>
      </c>
      <c r="AK39" s="55">
        <f t="shared" si="11"/>
        <v>1.212</v>
      </c>
      <c r="AL39" s="55">
        <f t="shared" si="12"/>
        <v>1.4159999999999999</v>
      </c>
      <c r="AM39" s="55">
        <f t="shared" si="28"/>
        <v>1.0076549220165065</v>
      </c>
      <c r="AN39" s="55">
        <f t="shared" si="29"/>
        <v>1.1770239741039215</v>
      </c>
      <c r="AO39" s="55">
        <f t="shared" si="30"/>
        <v>1.0085282298863867</v>
      </c>
      <c r="AP39" s="55">
        <f t="shared" si="31"/>
        <v>1.1675336016402156</v>
      </c>
      <c r="AQ39" s="55">
        <f>'31.12.2018'!AK39+'31.12.2018'!AL39</f>
        <v>3.1368</v>
      </c>
      <c r="AR39" s="55">
        <f>'31.12.2018'!P39+'31.12.2018'!R39+'31.12.2018'!AG39*1.2+'31.12.2018'!AH39*1.2</f>
        <v>3.1890000000000001</v>
      </c>
    </row>
    <row r="40" spans="1:44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32">W40/B40</f>
        <v>0</v>
      </c>
      <c r="AD40" s="53">
        <f t="shared" ref="AD40" si="33">Z40/E40</f>
        <v>0</v>
      </c>
      <c r="AE40" s="53">
        <f t="shared" ref="AE40" si="34">(X40+Y40)/(C40+D40)</f>
        <v>0</v>
      </c>
      <c r="AF40" s="53">
        <f t="shared" ref="AF40" si="35">(AA40+AB40)/(F40+G40)</f>
        <v>0</v>
      </c>
      <c r="AG40" s="53">
        <f t="shared" ref="AG40" si="36">I40+AC40</f>
        <v>0.77</v>
      </c>
      <c r="AH40" s="53">
        <f t="shared" ref="AH40" si="37">K40+AD40</f>
        <v>0.95</v>
      </c>
      <c r="AI40" s="55">
        <f t="shared" ref="AI40" si="38">AG40*1.2</f>
        <v>0.92399999999999993</v>
      </c>
      <c r="AJ40" s="55">
        <f t="shared" ref="AJ40" si="39">AH40*1.2</f>
        <v>1.1399999999999999</v>
      </c>
      <c r="AK40" s="55">
        <f t="shared" ref="AK40" si="40">(J40+AE40)*1.2</f>
        <v>0.92399999999999993</v>
      </c>
      <c r="AL40" s="55">
        <f t="shared" ref="AL40" si="41">(AF40+L40)*1.2</f>
        <v>1.1399999999999999</v>
      </c>
      <c r="AM40" s="55">
        <f t="shared" ref="AM40" si="42">(Q40+W40)/B40</f>
        <v>0.7730582524271844</v>
      </c>
      <c r="AN40" s="55">
        <f t="shared" ref="AN40" si="43">(T40+Z40)/E40</f>
        <v>0.9519913367825773</v>
      </c>
      <c r="AO40" s="55">
        <f t="shared" ref="AO40" si="44">(R40+X40)/C40</f>
        <v>0.77325056433408579</v>
      </c>
      <c r="AP40" s="55">
        <f t="shared" ref="AP40" si="45">(U40+V40+AA40+AB40)/(F40+G40)</f>
        <v>0.95197535338890904</v>
      </c>
      <c r="AQ40" s="55">
        <f>'31.12.2018'!AK40+'31.12.2018'!AL40</f>
        <v>3.3528000000000002</v>
      </c>
      <c r="AR40" s="55">
        <f>'31.12.2018'!P40+'31.12.2018'!R40+'31.12.2018'!AG40*1.2+'31.12.2018'!AH40*1.2</f>
        <v>3.3529999999999998</v>
      </c>
    </row>
    <row r="41" spans="1:44" s="15" customFormat="1" x14ac:dyDescent="0.25">
      <c r="A41" s="61" t="s">
        <v>64</v>
      </c>
      <c r="B41" s="65">
        <v>274.10300000000001</v>
      </c>
      <c r="C41" s="65">
        <v>56.46</v>
      </c>
      <c r="D41" s="65">
        <v>0</v>
      </c>
      <c r="E41" s="65">
        <v>267.08100000000002</v>
      </c>
      <c r="F41" s="65">
        <v>65.215000000000003</v>
      </c>
      <c r="G41" s="65">
        <v>0</v>
      </c>
      <c r="H41" s="65"/>
      <c r="I41" s="65">
        <v>1.25</v>
      </c>
      <c r="J41" s="65">
        <v>1.47</v>
      </c>
      <c r="K41" s="65">
        <v>1.95</v>
      </c>
      <c r="L41" s="65">
        <v>2.2000000000000002</v>
      </c>
      <c r="M41" s="65">
        <v>1.5</v>
      </c>
      <c r="N41" s="65">
        <v>1.76</v>
      </c>
      <c r="O41" s="65">
        <v>2.34</v>
      </c>
      <c r="P41" s="65">
        <v>2.64</v>
      </c>
      <c r="Q41" s="65">
        <v>343.35399999999998</v>
      </c>
      <c r="R41" s="65">
        <v>92.013000000000005</v>
      </c>
      <c r="S41" s="65">
        <v>0</v>
      </c>
      <c r="T41" s="65">
        <v>495.00299999999999</v>
      </c>
      <c r="U41" s="65">
        <v>120.42400000000001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f t="shared" si="4"/>
        <v>0</v>
      </c>
      <c r="AD41" s="65">
        <f t="shared" si="5"/>
        <v>0</v>
      </c>
      <c r="AE41" s="65">
        <f t="shared" si="6"/>
        <v>0</v>
      </c>
      <c r="AF41" s="65">
        <f t="shared" si="7"/>
        <v>0</v>
      </c>
      <c r="AG41" s="53">
        <f t="shared" si="8"/>
        <v>1.25</v>
      </c>
      <c r="AH41" s="53">
        <f t="shared" si="9"/>
        <v>1.95</v>
      </c>
      <c r="AI41" s="55">
        <f t="shared" si="10"/>
        <v>1.5</v>
      </c>
      <c r="AJ41" s="55">
        <f t="shared" si="10"/>
        <v>2.34</v>
      </c>
      <c r="AK41" s="55">
        <f t="shared" si="11"/>
        <v>1.764</v>
      </c>
      <c r="AL41" s="55">
        <f t="shared" si="12"/>
        <v>2.64</v>
      </c>
      <c r="AM41" s="66">
        <f t="shared" si="28"/>
        <v>1.2526459031823802</v>
      </c>
      <c r="AN41" s="66">
        <f t="shared" si="29"/>
        <v>1.8533815584036302</v>
      </c>
      <c r="AO41" s="66">
        <f t="shared" si="30"/>
        <v>1.629702444208289</v>
      </c>
      <c r="AP41" s="66">
        <f t="shared" si="31"/>
        <v>1.8465690408648316</v>
      </c>
      <c r="AQ41" s="55">
        <f>'31.12.2018'!AK41+'31.12.2018'!AL41</f>
        <v>3.84</v>
      </c>
      <c r="AR41" s="55">
        <f>'31.12.2018'!P41+'31.12.2018'!R41+'31.12.2018'!AG41*1.2+'31.12.2018'!AH41*1.2</f>
        <v>4.4000000000000004</v>
      </c>
    </row>
    <row r="42" spans="1:44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3">
        <f t="shared" si="8"/>
        <v>0.77</v>
      </c>
      <c r="AH42" s="53">
        <f t="shared" si="9"/>
        <v>0.99</v>
      </c>
      <c r="AI42" s="55">
        <f t="shared" si="10"/>
        <v>0.92399999999999993</v>
      </c>
      <c r="AJ42" s="55">
        <f t="shared" si="10"/>
        <v>1.1879999999999999</v>
      </c>
      <c r="AK42" s="55">
        <f t="shared" si="11"/>
        <v>0.92399999999999993</v>
      </c>
      <c r="AL42" s="55">
        <f t="shared" si="12"/>
        <v>1.1879999999999999</v>
      </c>
      <c r="AM42" s="55">
        <f t="shared" si="28"/>
        <v>0.75755637294098832</v>
      </c>
      <c r="AN42" s="55">
        <f t="shared" si="29"/>
        <v>0.97603269856618735</v>
      </c>
      <c r="AO42" s="55">
        <f t="shared" si="30"/>
        <v>0.76044728434504794</v>
      </c>
      <c r="AP42" s="55">
        <f t="shared" si="31"/>
        <v>1.2926315444776151</v>
      </c>
      <c r="AQ42" s="55">
        <f>'31.12.2018'!AK42+'31.12.2018'!AL42</f>
        <v>2.2199999999999998</v>
      </c>
      <c r="AR42" s="55">
        <f>'31.12.2018'!P42+'31.12.2018'!R42+'31.12.2018'!AG42*1.2+'31.12.2018'!AH42*1.2</f>
        <v>2.2200000000000002</v>
      </c>
    </row>
    <row r="43" spans="1:44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46">W43/B43</f>
        <v>0</v>
      </c>
      <c r="AD43" s="53">
        <f t="shared" ref="AD43" si="47">Z43/E43</f>
        <v>0</v>
      </c>
      <c r="AE43" s="53">
        <f t="shared" ref="AE43" si="48">(X43+Y43)/(C43+D43)</f>
        <v>0</v>
      </c>
      <c r="AF43" s="53">
        <f t="shared" ref="AF43" si="49">(AA43+AB43)/(F43+G43)</f>
        <v>0</v>
      </c>
      <c r="AG43" s="53">
        <f t="shared" ref="AG43" si="50">I43+AC43</f>
        <v>0.77</v>
      </c>
      <c r="AH43" s="53">
        <f t="shared" ref="AH43" si="51">K43+AD43</f>
        <v>0.99</v>
      </c>
      <c r="AI43" s="55">
        <f t="shared" ref="AI43" si="52">AG43*1.2</f>
        <v>0.92399999999999993</v>
      </c>
      <c r="AJ43" s="55">
        <f t="shared" ref="AJ43" si="53">AH43*1.2</f>
        <v>1.1879999999999999</v>
      </c>
      <c r="AK43" s="55">
        <f t="shared" ref="AK43" si="54">(J43+AE43)*1.2</f>
        <v>0.92399999999999993</v>
      </c>
      <c r="AL43" s="55">
        <f t="shared" ref="AL43" si="55">(AF43+L43)*1.2</f>
        <v>1.1879999999999999</v>
      </c>
      <c r="AM43" s="55">
        <f t="shared" ref="AM43" si="56">(Q43+W43)/B43</f>
        <v>0.75755637294098832</v>
      </c>
      <c r="AN43" s="55">
        <f t="shared" ref="AN43" si="57">(T43+Z43)/E43</f>
        <v>0.97603269856618735</v>
      </c>
      <c r="AO43" s="55">
        <f t="shared" ref="AO43" si="58">(R43+X43)/C43</f>
        <v>0.76044728434504794</v>
      </c>
      <c r="AP43" s="55">
        <f t="shared" ref="AP43" si="59">(U43+V43+AA43+AB43)/(F43+G43)</f>
        <v>1.2926315444776151</v>
      </c>
      <c r="AQ43" s="55">
        <f>'31.12.2018'!AK43+'31.12.2018'!AL43</f>
        <v>3</v>
      </c>
      <c r="AR43" s="55">
        <f>'31.12.2018'!P43+'31.12.2018'!R43+'31.12.2018'!AG43*1.2+'31.12.2018'!AH43*1.2</f>
        <v>3</v>
      </c>
    </row>
    <row r="44" spans="1:44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60">W44/B44</f>
        <v>0</v>
      </c>
      <c r="AD44" s="53">
        <f t="shared" ref="AD44" si="61">Z44/E44</f>
        <v>0</v>
      </c>
      <c r="AE44" s="53">
        <f t="shared" ref="AE44" si="62">(X44+Y44)/(C44+D44)</f>
        <v>0</v>
      </c>
      <c r="AF44" s="53">
        <f t="shared" ref="AF44" si="63">(AA44+AB44)/(F44+G44)</f>
        <v>0</v>
      </c>
      <c r="AG44" s="53">
        <f t="shared" ref="AG44" si="64">I44+AC44</f>
        <v>0.77</v>
      </c>
      <c r="AH44" s="53">
        <f t="shared" ref="AH44" si="65">K44+AD44</f>
        <v>0.99</v>
      </c>
      <c r="AI44" s="55">
        <f t="shared" ref="AI44" si="66">AG44*1.2</f>
        <v>0.92399999999999993</v>
      </c>
      <c r="AJ44" s="55">
        <f t="shared" ref="AJ44" si="67">AH44*1.2</f>
        <v>1.1879999999999999</v>
      </c>
      <c r="AK44" s="55">
        <f t="shared" ref="AK44" si="68">(J44+AE44)*1.2</f>
        <v>0.92399999999999993</v>
      </c>
      <c r="AL44" s="55">
        <f t="shared" ref="AL44" si="69">(AF44+L44)*1.2</f>
        <v>1.1879999999999999</v>
      </c>
      <c r="AM44" s="55">
        <f t="shared" ref="AM44" si="70">(Q44+W44)/B44</f>
        <v>0.75755637294098832</v>
      </c>
      <c r="AN44" s="55">
        <f t="shared" ref="AN44" si="71">(T44+Z44)/E44</f>
        <v>0.97603269856618735</v>
      </c>
      <c r="AO44" s="55">
        <f t="shared" ref="AO44" si="72">(R44+X44)/C44</f>
        <v>0.76044728434504794</v>
      </c>
      <c r="AP44" s="55">
        <f t="shared" ref="AP44" si="73">(U44+V44+AA44+AB44)/(F44+G44)</f>
        <v>1.2926315444776151</v>
      </c>
      <c r="AQ44" s="55">
        <f>'31.12.2018'!AK44+'31.12.2018'!AL44</f>
        <v>3.024</v>
      </c>
      <c r="AR44" s="55">
        <f>'31.12.2018'!P44+'31.12.2018'!R44+'31.12.2018'!AG44*1.2+'31.12.2018'!AH44*1.2</f>
        <v>3.024</v>
      </c>
    </row>
    <row r="45" spans="1:44" x14ac:dyDescent="0.25">
      <c r="AQ45" s="6"/>
      <c r="AR45" s="6"/>
    </row>
    <row r="46" spans="1:44" x14ac:dyDescent="0.25">
      <c r="A46" s="4" t="s">
        <v>68</v>
      </c>
    </row>
    <row r="47" spans="1:44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"/>
  <sheetViews>
    <sheetView zoomScaleNormal="10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K45" sqref="K45"/>
    </sheetView>
  </sheetViews>
  <sheetFormatPr defaultRowHeight="15" x14ac:dyDescent="0.25"/>
  <cols>
    <col min="1" max="1" width="25.42578125" style="4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70</v>
      </c>
      <c r="AE1" t="s">
        <v>70</v>
      </c>
      <c r="AG1" t="s">
        <v>3</v>
      </c>
    </row>
    <row r="2" spans="1:36" x14ac:dyDescent="0.25">
      <c r="A2" s="2"/>
      <c r="B2" s="83" t="s">
        <v>6</v>
      </c>
      <c r="C2" s="84"/>
      <c r="D2" s="85"/>
      <c r="E2" s="83" t="s">
        <v>7</v>
      </c>
      <c r="F2" s="84"/>
      <c r="G2" s="84"/>
      <c r="H2" s="46"/>
      <c r="I2" s="42" t="s">
        <v>8</v>
      </c>
      <c r="J2" s="43"/>
      <c r="K2" s="47" t="s">
        <v>9</v>
      </c>
      <c r="L2" s="46"/>
      <c r="M2" s="44" t="s">
        <v>10</v>
      </c>
      <c r="N2" s="46"/>
      <c r="O2" s="44" t="s">
        <v>11</v>
      </c>
      <c r="P2" s="46"/>
      <c r="Q2" s="44" t="s">
        <v>12</v>
      </c>
      <c r="R2" s="45"/>
      <c r="S2" s="46"/>
      <c r="T2" s="44" t="s">
        <v>13</v>
      </c>
      <c r="U2" s="45"/>
      <c r="V2" s="46"/>
      <c r="W2" s="44" t="s">
        <v>14</v>
      </c>
      <c r="X2" s="45"/>
      <c r="Y2" s="46"/>
      <c r="Z2" s="86" t="s">
        <v>15</v>
      </c>
      <c r="AA2" s="87"/>
      <c r="AB2" s="88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>
        <f>'31.12.2018'!A3</f>
        <v>43465</v>
      </c>
      <c r="B3" s="53" t="s">
        <v>19</v>
      </c>
      <c r="C3" s="53" t="s">
        <v>20</v>
      </c>
      <c r="D3" s="53" t="s">
        <v>21</v>
      </c>
      <c r="E3" s="1" t="s">
        <v>19</v>
      </c>
      <c r="F3" s="1" t="s">
        <v>22</v>
      </c>
      <c r="G3" s="1" t="s">
        <v>21</v>
      </c>
      <c r="H3" s="1" t="s">
        <v>23</v>
      </c>
      <c r="I3" s="47" t="s">
        <v>19</v>
      </c>
      <c r="J3" s="47" t="s">
        <v>20</v>
      </c>
      <c r="K3" s="47" t="s">
        <v>19</v>
      </c>
      <c r="L3" s="53" t="s">
        <v>20</v>
      </c>
      <c r="M3" s="53" t="s">
        <v>19</v>
      </c>
      <c r="N3" s="53" t="s">
        <v>20</v>
      </c>
      <c r="O3" s="53" t="s">
        <v>19</v>
      </c>
      <c r="P3" s="53" t="s">
        <v>20</v>
      </c>
      <c r="Q3" s="53" t="s">
        <v>19</v>
      </c>
      <c r="R3" s="53" t="s">
        <v>20</v>
      </c>
      <c r="S3" s="53" t="s">
        <v>24</v>
      </c>
      <c r="T3" s="53" t="s">
        <v>19</v>
      </c>
      <c r="U3" s="53" t="s">
        <v>20</v>
      </c>
      <c r="V3" s="53" t="s">
        <v>24</v>
      </c>
      <c r="W3" s="53" t="s">
        <v>19</v>
      </c>
      <c r="X3" s="53" t="s">
        <v>20</v>
      </c>
      <c r="Y3" s="53" t="s">
        <v>24</v>
      </c>
      <c r="Z3" s="53" t="s">
        <v>19</v>
      </c>
      <c r="AA3" s="53" t="s">
        <v>20</v>
      </c>
      <c r="AB3" s="53" t="s">
        <v>24</v>
      </c>
      <c r="AC3" s="5" t="s">
        <v>25</v>
      </c>
      <c r="AD3" s="5" t="s">
        <v>26</v>
      </c>
      <c r="AE3" s="5" t="s">
        <v>25</v>
      </c>
      <c r="AF3" s="5" t="s">
        <v>26</v>
      </c>
      <c r="AG3" s="5" t="s">
        <v>25</v>
      </c>
      <c r="AH3" s="5" t="s">
        <v>26</v>
      </c>
      <c r="AI3" s="5" t="s">
        <v>25</v>
      </c>
      <c r="AJ3" s="5" t="s">
        <v>26</v>
      </c>
    </row>
    <row r="4" spans="1:36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f>'31.12.2018'!K4</f>
        <v>1.3220000000000001</v>
      </c>
      <c r="J4" s="53">
        <v>0.77</v>
      </c>
      <c r="K4" s="53">
        <f>'31.12.2018'!M4</f>
        <v>1.579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6">
        <f t="shared" ref="AG4:AG25" si="0">(Q4+W4)/B4</f>
        <v>1.3378944945866438</v>
      </c>
      <c r="AH4" s="6">
        <f t="shared" ref="AH4:AH25" si="1">(T4+Z4)/E4</f>
        <v>2.1815022088343299</v>
      </c>
      <c r="AI4" s="6">
        <f t="shared" ref="AI4:AI25" si="2">(R4+X4)/C4</f>
        <v>2.0532136351808479</v>
      </c>
      <c r="AJ4" s="6">
        <f t="shared" ref="AJ4:AJ25" si="3">(U4+V4+AA4+AB4)/(F4+G4)</f>
        <v>3.0793226931744515</v>
      </c>
    </row>
    <row r="5" spans="1:36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5">
        <f>'31.12.2018'!K5</f>
        <v>1.2282389676460501</v>
      </c>
      <c r="J5" s="55">
        <v>0.77</v>
      </c>
      <c r="K5" s="55">
        <f>'31.12.2018'!M5</f>
        <v>1.49517511212902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>
        <f t="shared" ref="AC5:AC42" si="4">W5/B5</f>
        <v>0</v>
      </c>
      <c r="AD5">
        <f t="shared" ref="AD5:AD42" si="5">Z5/E5</f>
        <v>0</v>
      </c>
      <c r="AE5">
        <f t="shared" ref="AE5:AE42" si="6">(X5+Y5)/(C5+D5)</f>
        <v>0</v>
      </c>
      <c r="AF5">
        <f t="shared" ref="AF5:AF42" si="7">(AA5+AB5)/(F5+G5)</f>
        <v>0</v>
      </c>
      <c r="AG5" s="6">
        <f t="shared" si="0"/>
        <v>0.83448706250065552</v>
      </c>
      <c r="AH5" s="6">
        <f t="shared" si="1"/>
        <v>1.0513394445204542</v>
      </c>
      <c r="AI5" s="6">
        <f t="shared" si="2"/>
        <v>0.77812921961415382</v>
      </c>
      <c r="AJ5" s="6">
        <f t="shared" si="3"/>
        <v>1.2934140769794407</v>
      </c>
    </row>
    <row r="6" spans="1:36" x14ac:dyDescent="0.25">
      <c r="A6" s="61" t="s">
        <v>29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f>'31.12.2018'!K6</f>
        <v>0.73</v>
      </c>
      <c r="J6" s="53">
        <v>0.77</v>
      </c>
      <c r="K6" s="53">
        <f>'31.12.2018'!M6</f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>
        <f t="shared" si="4"/>
        <v>0.17665416825703317</v>
      </c>
      <c r="AD6">
        <f t="shared" si="5"/>
        <v>0.13488511580695767</v>
      </c>
      <c r="AG6" s="6">
        <f t="shared" si="0"/>
        <v>0.90567816969397608</v>
      </c>
      <c r="AH6" s="6">
        <f t="shared" si="1"/>
        <v>0.72390883085724844</v>
      </c>
      <c r="AI6" s="6"/>
      <c r="AJ6" s="6"/>
    </row>
    <row r="7" spans="1:36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3">
        <f>ROUND(('31.12.2018'!K7),2)</f>
        <v>0.92</v>
      </c>
      <c r="J7" s="53">
        <v>0.77</v>
      </c>
      <c r="K7" s="53">
        <f>ROUND(('31.12.2018'!M7),2)</f>
        <v>1.42</v>
      </c>
      <c r="L7" s="54">
        <f>U7/F7</f>
        <v>1.6965011825839753</v>
      </c>
      <c r="M7" s="55">
        <f t="shared" ref="M7:P8" si="8">I7*1.2</f>
        <v>1.1040000000000001</v>
      </c>
      <c r="N7" s="55">
        <f t="shared" si="8"/>
        <v>0.92399999999999993</v>
      </c>
      <c r="O7" s="55">
        <f t="shared" si="8"/>
        <v>1.704</v>
      </c>
      <c r="P7" s="55">
        <f t="shared" si="8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6">
        <f t="shared" si="0"/>
        <v>0.79925338405195956</v>
      </c>
      <c r="AH7" s="6">
        <f t="shared" si="1"/>
        <v>1.0993674792544803</v>
      </c>
      <c r="AI7" s="6">
        <f t="shared" si="2"/>
        <v>0.80154772519621764</v>
      </c>
      <c r="AJ7" s="6">
        <f t="shared" si="3"/>
        <v>1.6965011825839753</v>
      </c>
    </row>
    <row r="8" spans="1:36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3">
        <f>ROUND(('31.12.2018'!K8),2)</f>
        <v>0.97</v>
      </c>
      <c r="J8" s="53">
        <v>0.77</v>
      </c>
      <c r="K8" s="53">
        <f>ROUND(('31.12.2018'!M8),2)</f>
        <v>1.55</v>
      </c>
      <c r="L8" s="54">
        <f>U8/F8</f>
        <v>1.6965011825839753</v>
      </c>
      <c r="M8" s="55">
        <f t="shared" si="8"/>
        <v>1.1639999999999999</v>
      </c>
      <c r="N8" s="55">
        <f t="shared" si="8"/>
        <v>0.92399999999999993</v>
      </c>
      <c r="O8" s="55">
        <f t="shared" si="8"/>
        <v>1.8599999999999999</v>
      </c>
      <c r="P8" s="55">
        <f t="shared" si="8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6">
        <f t="shared" ref="AG8" si="13">(Q8+W8)/B8</f>
        <v>0.79925338405195956</v>
      </c>
      <c r="AH8" s="6">
        <f t="shared" ref="AH8" si="14">(T8+Z8)/E8</f>
        <v>1.0993674792544803</v>
      </c>
      <c r="AI8" s="6">
        <f t="shared" ref="AI8" si="15">(R8+X8)/C8</f>
        <v>0.80154772519621764</v>
      </c>
      <c r="AJ8" s="6">
        <f t="shared" ref="AJ8" si="16">(U8+V8+AA8+AB8)/(F8+G8)</f>
        <v>1.6965011825839753</v>
      </c>
    </row>
    <row r="9" spans="1:36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f>'31.12.2018'!K9</f>
        <v>1.3</v>
      </c>
      <c r="J9" s="53">
        <v>0.77</v>
      </c>
      <c r="K9" s="53">
        <f>'31.12.2018'!M9</f>
        <v>1.95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6">
        <f t="shared" si="0"/>
        <v>0.88003251834997398</v>
      </c>
      <c r="AH9" s="6">
        <f t="shared" si="1"/>
        <v>1.2995790594155217</v>
      </c>
      <c r="AI9" s="6">
        <f t="shared" si="2"/>
        <v>1.0519376194565246</v>
      </c>
      <c r="AJ9" s="6">
        <f t="shared" si="3"/>
        <v>1.5630771489392941</v>
      </c>
    </row>
    <row r="10" spans="1:36" x14ac:dyDescent="0.25">
      <c r="A10" s="61" t="s">
        <v>33</v>
      </c>
      <c r="B10" s="53">
        <v>12.874000000000001</v>
      </c>
      <c r="C10" s="53">
        <v>3.2320000000000002</v>
      </c>
      <c r="D10" s="53">
        <v>0</v>
      </c>
      <c r="E10" s="53">
        <v>12.874000000000001</v>
      </c>
      <c r="F10" s="53">
        <v>3.2320000000000002</v>
      </c>
      <c r="G10" s="53">
        <v>0</v>
      </c>
      <c r="H10" s="53">
        <v>44.454999999999998</v>
      </c>
      <c r="I10" s="53">
        <f>'31.12.2018'!K10</f>
        <v>0.94799999999999995</v>
      </c>
      <c r="J10" s="53">
        <v>0.77</v>
      </c>
      <c r="K10" s="53">
        <f>'31.12.2018'!M10</f>
        <v>1.1299999999999999</v>
      </c>
      <c r="L10" s="63">
        <v>0</v>
      </c>
      <c r="M10" s="53">
        <v>1.1399999999999999</v>
      </c>
      <c r="N10" s="53">
        <v>1.1399999999999999</v>
      </c>
      <c r="O10" s="53">
        <v>1.36</v>
      </c>
      <c r="P10" s="63">
        <v>0</v>
      </c>
      <c r="Q10" s="53">
        <v>9.3949999999999996</v>
      </c>
      <c r="R10" s="53">
        <v>2.911</v>
      </c>
      <c r="S10" s="53">
        <v>0</v>
      </c>
      <c r="T10" s="53">
        <v>15.593999999999999</v>
      </c>
      <c r="U10" s="53">
        <v>3.556</v>
      </c>
      <c r="V10" s="63">
        <v>9.2550000000000008</v>
      </c>
      <c r="W10" s="53"/>
      <c r="X10" s="53"/>
      <c r="Y10" s="53"/>
      <c r="Z10" s="53"/>
      <c r="AA10" s="53"/>
      <c r="AB10" s="53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6">
        <f t="shared" si="0"/>
        <v>0.72976541867329492</v>
      </c>
      <c r="AH10" s="6">
        <f t="shared" si="1"/>
        <v>1.2112785459064781</v>
      </c>
      <c r="AI10" s="6">
        <f t="shared" si="2"/>
        <v>0.90068069306930687</v>
      </c>
      <c r="AJ10" s="6">
        <f t="shared" si="3"/>
        <v>3.9637995049504946</v>
      </c>
    </row>
    <row r="11" spans="1:36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f>'31.12.2018'!K11</f>
        <v>1.22</v>
      </c>
      <c r="J11" s="53">
        <v>0.77</v>
      </c>
      <c r="K11" s="53">
        <f>'31.12.2018'!M11</f>
        <v>0.72299999999999998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6">
        <f t="shared" si="0"/>
        <v>0.61889388411085056</v>
      </c>
      <c r="AH11" s="6">
        <f t="shared" si="1"/>
        <v>0.79558602983379723</v>
      </c>
      <c r="AI11" s="6">
        <f t="shared" si="2"/>
        <v>0.81573140314685566</v>
      </c>
      <c r="AJ11" s="6">
        <f t="shared" si="3"/>
        <v>0.84199271802577591</v>
      </c>
    </row>
    <row r="12" spans="1:36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f>'31.12.2018'!K12</f>
        <v>1.0980000000000001</v>
      </c>
      <c r="J12" s="53">
        <v>0.77</v>
      </c>
      <c r="K12" s="53">
        <f>'31.12.2018'!M12</f>
        <v>1.84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6">
        <f t="shared" si="0"/>
        <v>0.97989817704056492</v>
      </c>
      <c r="AH12" s="6">
        <f t="shared" si="1"/>
        <v>1.299988393108823</v>
      </c>
      <c r="AI12" s="6">
        <f t="shared" si="2"/>
        <v>0.98074142916150364</v>
      </c>
      <c r="AJ12" s="6">
        <f t="shared" si="3"/>
        <v>1.7523994811932551</v>
      </c>
    </row>
    <row r="13" spans="1:36" x14ac:dyDescent="0.25">
      <c r="A13" s="61" t="s">
        <v>36</v>
      </c>
      <c r="B13" s="53">
        <v>36.872999999999998</v>
      </c>
      <c r="C13" s="53">
        <v>11.788</v>
      </c>
      <c r="D13" s="53">
        <v>0</v>
      </c>
      <c r="E13" s="53">
        <v>36.313000000000002</v>
      </c>
      <c r="F13" s="53">
        <v>7.87</v>
      </c>
      <c r="G13" s="53">
        <v>0</v>
      </c>
      <c r="H13" s="53"/>
      <c r="I13" s="53">
        <f>'31.12.2018'!K13</f>
        <v>0.89</v>
      </c>
      <c r="J13" s="53">
        <v>0.77</v>
      </c>
      <c r="K13" s="53">
        <f>'31.12.2018'!M13</f>
        <v>1.99</v>
      </c>
      <c r="L13" s="53">
        <v>1.6</v>
      </c>
      <c r="M13" s="53">
        <v>0.96</v>
      </c>
      <c r="N13" s="53">
        <v>0.96</v>
      </c>
      <c r="O13" s="53">
        <v>1.92</v>
      </c>
      <c r="P13" s="53">
        <v>1.92</v>
      </c>
      <c r="Q13" s="53">
        <v>25.811</v>
      </c>
      <c r="R13" s="53">
        <v>8.2520000000000007</v>
      </c>
      <c r="S13" s="53">
        <v>0</v>
      </c>
      <c r="T13" s="53">
        <v>53.38</v>
      </c>
      <c r="U13" s="53">
        <v>11.569000000000001</v>
      </c>
      <c r="V13" s="53"/>
      <c r="W13" s="53"/>
      <c r="X13" s="53"/>
      <c r="Y13" s="53"/>
      <c r="Z13" s="53"/>
      <c r="AA13" s="53"/>
      <c r="AB13" s="53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6">
        <f t="shared" si="0"/>
        <v>0.69999728798850114</v>
      </c>
      <c r="AH13" s="6">
        <f t="shared" si="1"/>
        <v>1.4699969707818137</v>
      </c>
      <c r="AI13" s="6">
        <f t="shared" si="2"/>
        <v>0.70003393281303028</v>
      </c>
      <c r="AJ13" s="6">
        <f t="shared" si="3"/>
        <v>1.470012706480305</v>
      </c>
    </row>
    <row r="14" spans="1:36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f>'31.12.2018'!K14</f>
        <v>1.36</v>
      </c>
      <c r="J14" s="53">
        <v>0.77</v>
      </c>
      <c r="K14" s="53">
        <f>'31.12.2018'!M14</f>
        <v>1.5649999999999999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6">
        <f t="shared" si="0"/>
        <v>1.1520338946782789</v>
      </c>
      <c r="AH14" s="6">
        <f t="shared" si="1"/>
        <v>1.3016703656114941</v>
      </c>
      <c r="AI14" s="6">
        <f t="shared" si="2"/>
        <v>1.2099607267705321</v>
      </c>
      <c r="AJ14" s="6">
        <f t="shared" si="3"/>
        <v>1.3286790266512165</v>
      </c>
    </row>
    <row r="15" spans="1:36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>
        <f>'31.12.2018'!K15</f>
        <v>1.4650000000000001</v>
      </c>
      <c r="J15" s="53">
        <v>0.77</v>
      </c>
      <c r="K15" s="53">
        <f>'31.12.2018'!M15</f>
        <v>2.1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G15" s="6"/>
      <c r="AH15" s="6"/>
      <c r="AI15" s="6"/>
      <c r="AJ15" s="6"/>
    </row>
    <row r="16" spans="1:36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f>'31.12.2018'!K16</f>
        <v>1.1200000000000001</v>
      </c>
      <c r="J16" s="53">
        <v>0.77</v>
      </c>
      <c r="K16" s="53">
        <f>'31.12.2018'!M16</f>
        <v>1.37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6">
        <f t="shared" si="0"/>
        <v>0.99849814896860367</v>
      </c>
      <c r="AH16" s="6">
        <f t="shared" si="1"/>
        <v>1.0288065780725819</v>
      </c>
      <c r="AI16" s="6">
        <f t="shared" si="2"/>
        <v>0.95872857770616671</v>
      </c>
      <c r="AJ16" s="6">
        <f t="shared" si="3"/>
        <v>0.97554666713653904</v>
      </c>
    </row>
    <row r="17" spans="1:36" x14ac:dyDescent="0.25">
      <c r="A17" s="61" t="s">
        <v>40</v>
      </c>
      <c r="B17" s="53">
        <v>48.48</v>
      </c>
      <c r="C17" s="53">
        <v>6.8789999999999996</v>
      </c>
      <c r="D17" s="53">
        <v>7.4999999999999997E-2</v>
      </c>
      <c r="E17" s="53">
        <v>46.804000000000002</v>
      </c>
      <c r="F17" s="53">
        <v>4.7789999999999999</v>
      </c>
      <c r="G17" s="53"/>
      <c r="H17" s="53"/>
      <c r="I17" s="53">
        <f>'31.12.2018'!K17</f>
        <v>1.32</v>
      </c>
      <c r="J17" s="53">
        <v>0.77</v>
      </c>
      <c r="K17" s="53">
        <f>'31.12.2018'!M17</f>
        <v>1.81</v>
      </c>
      <c r="L17" s="53">
        <v>2.71</v>
      </c>
      <c r="M17" s="53">
        <v>1.3680000000000001</v>
      </c>
      <c r="N17" s="53">
        <v>2.016</v>
      </c>
      <c r="O17" s="53">
        <v>2.016</v>
      </c>
      <c r="P17" s="53">
        <v>3.2519999999999998</v>
      </c>
      <c r="Q17" s="53">
        <v>55.267000000000003</v>
      </c>
      <c r="R17" s="53">
        <v>11.557</v>
      </c>
      <c r="S17" s="53">
        <v>0.126</v>
      </c>
      <c r="T17" s="53">
        <v>78.631</v>
      </c>
      <c r="U17" s="53">
        <v>12.951000000000001</v>
      </c>
      <c r="V17" s="53">
        <v>0</v>
      </c>
      <c r="W17" s="53">
        <v>7.694</v>
      </c>
      <c r="X17" s="53">
        <v>0.33</v>
      </c>
      <c r="Y17" s="53">
        <v>1.9E-2</v>
      </c>
      <c r="Z17" s="53">
        <v>0</v>
      </c>
      <c r="AA17" s="53">
        <v>0</v>
      </c>
      <c r="AB17" s="53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6">
        <f t="shared" si="0"/>
        <v>1.2987004950495051</v>
      </c>
      <c r="AH17" s="6">
        <f t="shared" si="1"/>
        <v>1.6800059823946671</v>
      </c>
      <c r="AI17" s="6">
        <f t="shared" si="2"/>
        <v>1.7280127925570579</v>
      </c>
      <c r="AJ17" s="6">
        <f t="shared" si="3"/>
        <v>2.7099811676082863</v>
      </c>
    </row>
    <row r="18" spans="1:36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f>'31.12.2018'!K18</f>
        <v>1.1000000000000001</v>
      </c>
      <c r="J18" s="53">
        <v>0.77</v>
      </c>
      <c r="K18" s="53">
        <f>'31.12.2018'!M18</f>
        <v>2.09</v>
      </c>
      <c r="L18" s="53"/>
      <c r="M18" s="53"/>
      <c r="N18" s="53"/>
      <c r="O18" s="53"/>
      <c r="P18" s="53"/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6">
        <f t="shared" si="0"/>
        <v>0.51169926678465538</v>
      </c>
      <c r="AH18" s="6">
        <f t="shared" si="1"/>
        <v>1.0327977651216991</v>
      </c>
      <c r="AI18" s="6">
        <f t="shared" si="2"/>
        <v>0.87509244802366659</v>
      </c>
      <c r="AJ18" s="6">
        <f t="shared" si="3"/>
        <v>0.79187448988845555</v>
      </c>
    </row>
    <row r="19" spans="1:36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f>'31.12.2018'!K19</f>
        <v>1.3</v>
      </c>
      <c r="J19" s="53">
        <v>0.77</v>
      </c>
      <c r="K19" s="53">
        <f>'31.12.2018'!M19</f>
        <v>2.34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6">
        <f t="shared" si="0"/>
        <v>0.87942701671976364</v>
      </c>
      <c r="AH19" s="6">
        <f t="shared" si="1"/>
        <v>1.639238711141366</v>
      </c>
      <c r="AI19" s="6">
        <f t="shared" si="2"/>
        <v>1.0438565051643804</v>
      </c>
      <c r="AJ19" s="6">
        <f t="shared" si="3"/>
        <v>1.8885325850953669</v>
      </c>
    </row>
    <row r="20" spans="1:36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5">
        <f>'31.12.2018'!K20</f>
        <v>0.90079817292496134</v>
      </c>
      <c r="J20" s="55">
        <v>0.77</v>
      </c>
      <c r="K20" s="55">
        <f>'31.12.2018'!M20</f>
        <v>1.7049003324221454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G20" s="6"/>
      <c r="AH20" s="6"/>
      <c r="AI20" s="6"/>
      <c r="AJ20" s="6"/>
    </row>
    <row r="21" spans="1:36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3">
        <f>'31.12.2018'!K21</f>
        <v>1.23</v>
      </c>
      <c r="J21" s="53">
        <v>0.77</v>
      </c>
      <c r="K21" s="53">
        <f>'31.12.2018'!M21</f>
        <v>1.95</v>
      </c>
      <c r="L21" s="54">
        <f>U21/F21</f>
        <v>2.1628588419743742</v>
      </c>
      <c r="M21" s="55">
        <f>I21*1.2</f>
        <v>1.476</v>
      </c>
      <c r="N21" s="55">
        <f>J21*1.2</f>
        <v>0.92399999999999993</v>
      </c>
      <c r="O21" s="55">
        <f>K21*1.2</f>
        <v>2.34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>
        <f t="shared" si="4"/>
        <v>5.9174293350611491E-3</v>
      </c>
      <c r="AD21">
        <f t="shared" si="5"/>
        <v>5.889227873654812E-3</v>
      </c>
      <c r="AE21">
        <f t="shared" si="6"/>
        <v>1.4628205774898577E-3</v>
      </c>
      <c r="AF21">
        <f t="shared" si="7"/>
        <v>9.4609936746499425E-4</v>
      </c>
      <c r="AG21" s="6">
        <f t="shared" si="0"/>
        <v>0.88369138252207025</v>
      </c>
      <c r="AH21" s="6">
        <f t="shared" si="1"/>
        <v>1.6710127549342522</v>
      </c>
      <c r="AI21" s="6">
        <f t="shared" si="2"/>
        <v>0.94171776930670958</v>
      </c>
      <c r="AJ21" s="6">
        <f t="shared" si="3"/>
        <v>2.1638049413418394</v>
      </c>
    </row>
    <row r="22" spans="1:36" x14ac:dyDescent="0.25">
      <c r="A22" s="61" t="s">
        <v>45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f>'31.12.2018'!K22</f>
        <v>1.33</v>
      </c>
      <c r="J22" s="53">
        <v>0.77</v>
      </c>
      <c r="K22" s="53">
        <f>'31.12.2018'!M22</f>
        <v>1.67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6">
        <f t="shared" si="0"/>
        <v>0.76225327123530717</v>
      </c>
      <c r="AH22" s="6">
        <f t="shared" si="1"/>
        <v>1.0803619386026526</v>
      </c>
      <c r="AI22" s="6">
        <f t="shared" si="2"/>
        <v>0.9160878332959892</v>
      </c>
      <c r="AJ22" s="6">
        <f t="shared" si="3"/>
        <v>1.621903520208605</v>
      </c>
    </row>
    <row r="23" spans="1:36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f>'31.12.2018'!K23</f>
        <v>0.95299999999999996</v>
      </c>
      <c r="J23" s="53">
        <v>0.77</v>
      </c>
      <c r="K23" s="53">
        <f>'31.12.2018'!M23</f>
        <v>2.5049999999999999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6">
        <f t="shared" si="0"/>
        <v>1.0845812438757276</v>
      </c>
      <c r="AH23" s="6">
        <f t="shared" si="1"/>
        <v>1.373533830622842</v>
      </c>
      <c r="AI23" s="6">
        <f t="shared" si="2"/>
        <v>1.080019864260884</v>
      </c>
      <c r="AJ23" s="6">
        <f t="shared" si="3"/>
        <v>1.3716961563845502</v>
      </c>
    </row>
    <row r="24" spans="1:36" x14ac:dyDescent="0.25">
      <c r="A24" s="61" t="s">
        <v>47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f>'31.12.2018'!K24</f>
        <v>0.875</v>
      </c>
      <c r="J24" s="53">
        <v>0.77</v>
      </c>
      <c r="K24" s="53">
        <f>'31.12.2018'!M24</f>
        <v>1.375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6">
        <f t="shared" si="0"/>
        <v>0.88999817651349378</v>
      </c>
      <c r="AH24" s="6">
        <f t="shared" si="1"/>
        <v>0.8942359891425834</v>
      </c>
      <c r="AI24" s="6">
        <f t="shared" si="2"/>
        <v>1.2799895914650012</v>
      </c>
      <c r="AJ24" s="6">
        <f t="shared" si="3"/>
        <v>1.469523117889131</v>
      </c>
    </row>
    <row r="25" spans="1:36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f>'31.12.2018'!K25</f>
        <v>1.43</v>
      </c>
      <c r="J25" s="53">
        <v>0.77</v>
      </c>
      <c r="K25" s="53">
        <f>'31.12.2018'!M25</f>
        <v>1.5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6">
        <f t="shared" si="0"/>
        <v>0.75615624673314896</v>
      </c>
      <c r="AH25" s="6">
        <f t="shared" si="1"/>
        <v>1.2315762399589876</v>
      </c>
      <c r="AI25" s="6">
        <f t="shared" si="2"/>
        <v>0.65771646125267458</v>
      </c>
      <c r="AJ25" s="6">
        <f t="shared" si="3"/>
        <v>1.1102469659745284</v>
      </c>
    </row>
    <row r="26" spans="1:36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f>'31.12.2018'!K26</f>
        <v>0.74</v>
      </c>
      <c r="J26" s="53">
        <v>0.77</v>
      </c>
      <c r="K26" s="53">
        <f>'31.12.2018'!M26</f>
        <v>1.49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6">
        <f>(Q26+W26)/B26</f>
        <v>0.94997561885093085</v>
      </c>
      <c r="AH26" s="6">
        <f>(T26+Z26)/E26</f>
        <v>1.199990389697756</v>
      </c>
      <c r="AI26" s="6">
        <f>(R26+X26)/C26</f>
        <v>1.0500039249548629</v>
      </c>
      <c r="AJ26" s="6">
        <f>(U26+V26+AA26+AB26)/(F26+G26)</f>
        <v>1.4598601909633748</v>
      </c>
    </row>
    <row r="27" spans="1:36" x14ac:dyDescent="0.25">
      <c r="A27" s="64" t="s">
        <v>50</v>
      </c>
      <c r="B27" s="53">
        <v>86.088999999999999</v>
      </c>
      <c r="C27" s="53">
        <v>29.715</v>
      </c>
      <c r="D27" s="53">
        <v>1.278</v>
      </c>
      <c r="E27" s="53">
        <v>83.031999999999996</v>
      </c>
      <c r="F27" s="53">
        <v>161.767</v>
      </c>
      <c r="G27" s="53">
        <v>6.4000000000000001E-2</v>
      </c>
      <c r="H27" s="53"/>
      <c r="I27" s="53">
        <f>'31.12.2018'!K27</f>
        <v>1.2</v>
      </c>
      <c r="J27" s="53">
        <v>0.77</v>
      </c>
      <c r="K27" s="53">
        <f>'31.12.2018'!M27</f>
        <v>1.1499999999999999</v>
      </c>
      <c r="L27" s="53">
        <v>1.38</v>
      </c>
      <c r="M27" s="53"/>
      <c r="N27" s="53"/>
      <c r="O27" s="53"/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6">
        <f t="shared" ref="AG27:AG42" si="17">(Q27+W27)/B27</f>
        <v>0.62302965535666577</v>
      </c>
      <c r="AH27" s="6">
        <f t="shared" ref="AH27:AH42" si="18">(T27+Z27)/E27</f>
        <v>1.2065107428461317</v>
      </c>
      <c r="AI27" s="6">
        <f t="shared" ref="AI27:AI42" si="19">(R27+X27)/C27</f>
        <v>0.89567558472152109</v>
      </c>
      <c r="AJ27" s="6">
        <f t="shared" ref="AJ27:AJ42" si="20">(U27+V27+AA27+AB27)/(F27+G27)</f>
        <v>1.4802664508036163</v>
      </c>
    </row>
    <row r="28" spans="1:36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f>'31.12.2018'!K28</f>
        <v>0.76</v>
      </c>
      <c r="J28" s="53">
        <v>0.77</v>
      </c>
      <c r="K28" s="53">
        <f>'31.12.2018'!M28</f>
        <v>1.1399999999999999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6">
        <f t="shared" si="17"/>
        <v>0.76399873769748139</v>
      </c>
      <c r="AH28" s="6">
        <f t="shared" si="18"/>
        <v>0.64499962748652739</v>
      </c>
      <c r="AI28" s="6">
        <f t="shared" si="19"/>
        <v>0.76400345399595515</v>
      </c>
      <c r="AJ28" s="6">
        <f t="shared" si="20"/>
        <v>0.64499891706945289</v>
      </c>
    </row>
    <row r="29" spans="1:36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>
        <f>'31.12.2018'!K29</f>
        <v>2.09</v>
      </c>
      <c r="J29" s="53">
        <v>0.77</v>
      </c>
      <c r="K29" s="53">
        <f>'31.12.2018'!M29</f>
        <v>2.11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G29" s="6"/>
      <c r="AH29" s="6"/>
      <c r="AI29" s="6"/>
      <c r="AJ29" s="6"/>
    </row>
    <row r="30" spans="1:36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>
        <f>'31.12.2018'!K30</f>
        <v>0.96</v>
      </c>
      <c r="J30" s="53">
        <v>0.77</v>
      </c>
      <c r="K30" s="53">
        <f>'31.12.2018'!M30</f>
        <v>1.28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G30" s="6"/>
      <c r="AH30" s="6"/>
      <c r="AI30" s="6"/>
      <c r="AJ30" s="6"/>
    </row>
    <row r="31" spans="1:36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f>'31.12.2018'!K31</f>
        <v>1.254</v>
      </c>
      <c r="J31" s="53">
        <v>0.77</v>
      </c>
      <c r="K31" s="53">
        <f>'31.12.2018'!M31</f>
        <v>1.3129999999999999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6">
        <f t="shared" si="17"/>
        <v>0.72615968478812642</v>
      </c>
      <c r="AH31" s="6">
        <f t="shared" si="18"/>
        <v>0.91472088969194165</v>
      </c>
      <c r="AI31" s="6">
        <f t="shared" si="19"/>
        <v>0.71665866739007955</v>
      </c>
      <c r="AJ31" s="6">
        <f t="shared" si="20"/>
        <v>0.93633352400462933</v>
      </c>
    </row>
    <row r="32" spans="1:36" x14ac:dyDescent="0.25">
      <c r="A32" s="61" t="s">
        <v>55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f>'31.12.2018'!K32</f>
        <v>0.93</v>
      </c>
      <c r="J32" s="53">
        <v>0.77</v>
      </c>
      <c r="K32" s="53">
        <f>'31.12.2018'!M32</f>
        <v>0.83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>
        <v>0</v>
      </c>
      <c r="AD32">
        <v>0</v>
      </c>
      <c r="AE32">
        <v>0</v>
      </c>
      <c r="AF32">
        <v>0</v>
      </c>
      <c r="AG32" s="6">
        <f t="shared" si="17"/>
        <v>1.1361670232202252</v>
      </c>
      <c r="AH32" s="6">
        <f t="shared" si="18"/>
        <v>1.1442430025445292</v>
      </c>
      <c r="AI32" s="6">
        <f t="shared" si="19"/>
        <v>1.2921573137074518</v>
      </c>
      <c r="AJ32" s="6">
        <f t="shared" si="20"/>
        <v>1.9963516839043864</v>
      </c>
    </row>
    <row r="33" spans="1:36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f>'31.12.2018'!K33</f>
        <v>1.1200000000000001</v>
      </c>
      <c r="J33" s="53">
        <v>0.77</v>
      </c>
      <c r="K33" s="53">
        <f>'31.12.2018'!M33</f>
        <v>1.69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6">
        <f t="shared" si="17"/>
        <v>0.76098776051466765</v>
      </c>
      <c r="AH33" s="6">
        <f t="shared" si="18"/>
        <v>0.58309961193879967</v>
      </c>
      <c r="AI33" s="6">
        <f t="shared" si="19"/>
        <v>0.89000139840581727</v>
      </c>
      <c r="AJ33" s="6">
        <f t="shared" si="20"/>
        <v>0.85747002559612018</v>
      </c>
    </row>
    <row r="34" spans="1:36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f>'31.12.2018'!K34</f>
        <v>0.95</v>
      </c>
      <c r="J34" s="53">
        <v>0.77</v>
      </c>
      <c r="K34" s="53">
        <f>'31.12.2018'!M34</f>
        <v>0.78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6">
        <f t="shared" si="17"/>
        <v>0.91588165515316444</v>
      </c>
      <c r="AH34" s="6">
        <f t="shared" si="18"/>
        <v>1.3636522205823158</v>
      </c>
      <c r="AI34" s="6">
        <f t="shared" si="19"/>
        <v>1.540762331838565</v>
      </c>
      <c r="AJ34" s="6">
        <f t="shared" si="20"/>
        <v>2.2919541323690349</v>
      </c>
    </row>
    <row r="35" spans="1:36" x14ac:dyDescent="0.25">
      <c r="A35" s="61" t="s">
        <v>58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f>'31.12.2018'!K35</f>
        <v>0.9</v>
      </c>
      <c r="J35" s="53">
        <v>0.77</v>
      </c>
      <c r="K35" s="53">
        <f>'31.12.2018'!M35</f>
        <v>1.18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6">
        <f t="shared" si="17"/>
        <v>0.95</v>
      </c>
      <c r="AH35" s="6">
        <f t="shared" si="18"/>
        <v>0.78000585480093676</v>
      </c>
      <c r="AI35" s="6">
        <f t="shared" si="19"/>
        <v>2.122851919561243</v>
      </c>
      <c r="AJ35" s="6">
        <f t="shared" si="20"/>
        <v>1.4646207974980454</v>
      </c>
    </row>
    <row r="36" spans="1:36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f>'31.12.2018'!K36</f>
        <v>0.61599999999999999</v>
      </c>
      <c r="J36" s="53">
        <v>0.77</v>
      </c>
      <c r="K36" s="53">
        <f>'31.12.2018'!M36</f>
        <v>1.08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f>'31.12.2018'!K37</f>
        <v>1.53</v>
      </c>
      <c r="J37" s="53">
        <v>0.77</v>
      </c>
      <c r="K37" s="53">
        <f>'31.12.2018'!M37</f>
        <v>1.6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f>'31.12.2018'!K38</f>
        <v>1.1379999999999999</v>
      </c>
      <c r="J38" s="53">
        <v>0.77</v>
      </c>
      <c r="K38" s="53">
        <f>'31.12.2018'!M38</f>
        <v>1.357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f>'31.12.2018'!K39</f>
        <v>1.014</v>
      </c>
      <c r="J39" s="53">
        <v>0.77</v>
      </c>
      <c r="K39" s="53">
        <f>'31.12.2018'!M39</f>
        <v>1.6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f>'31.12.2018'!K40</f>
        <v>0.879</v>
      </c>
      <c r="J40" s="53">
        <v>0.77</v>
      </c>
      <c r="K40" s="53">
        <f>'31.12.2018'!M40</f>
        <v>1.915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G40" s="6"/>
      <c r="AH40" s="6"/>
      <c r="AI40" s="6"/>
      <c r="AJ40" s="6"/>
    </row>
    <row r="41" spans="1:36" x14ac:dyDescent="0.25">
      <c r="A41" s="61" t="s">
        <v>64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f>'31.12.2018'!K41</f>
        <v>1.25</v>
      </c>
      <c r="J41" s="53">
        <v>0.77</v>
      </c>
      <c r="K41" s="53">
        <f>'31.12.2018'!M41</f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f>'31.12.2018'!K42</f>
        <v>0.77</v>
      </c>
      <c r="J42" s="53">
        <v>0.77</v>
      </c>
      <c r="K42" s="53">
        <f>'31.12.2018'!M42</f>
        <v>1.08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f>'31.12.2018'!K43</f>
        <v>1</v>
      </c>
      <c r="J43" s="53">
        <v>0.77</v>
      </c>
      <c r="K43" s="53">
        <f>'31.12.2018'!M43</f>
        <v>1.5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>
        <f t="shared" ref="AC43" si="21">W43/B43</f>
        <v>0</v>
      </c>
      <c r="AD43">
        <f t="shared" ref="AD43" si="22">Z43/E43</f>
        <v>0</v>
      </c>
      <c r="AE43">
        <f t="shared" ref="AE43" si="23">(X43+Y43)/(C43+D43)</f>
        <v>0</v>
      </c>
      <c r="AF43">
        <f t="shared" ref="AF43" si="24">(AA43+AB43)/(F43+G43)</f>
        <v>0</v>
      </c>
      <c r="AG43" s="6">
        <f t="shared" ref="AG43" si="25">(Q43+W43)/B43</f>
        <v>0.75755637294098832</v>
      </c>
      <c r="AH43" s="6">
        <f t="shared" ref="AH43" si="26">(T43+Z43)/E43</f>
        <v>0.97603269856618735</v>
      </c>
      <c r="AI43" s="6">
        <f t="shared" ref="AI43" si="27">(R43+X43)/C43</f>
        <v>0.76044728434504794</v>
      </c>
      <c r="AJ43" s="6">
        <f t="shared" ref="AJ43" si="28">(U43+V43+AA43+AB43)/(F43+G43)</f>
        <v>1.2926315444776151</v>
      </c>
    </row>
    <row r="44" spans="1:36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f>'31.12.2018'!K44</f>
        <v>0.98</v>
      </c>
      <c r="J44" s="53">
        <v>0.77</v>
      </c>
      <c r="K44" s="53">
        <f>'31.12.2018'!M44</f>
        <v>1.54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>
        <f t="shared" ref="AC44" si="29">W44/B44</f>
        <v>0</v>
      </c>
      <c r="AD44">
        <f t="shared" ref="AD44" si="30">Z44/E44</f>
        <v>0</v>
      </c>
      <c r="AE44">
        <f t="shared" ref="AE44" si="31">(X44+Y44)/(C44+D44)</f>
        <v>0</v>
      </c>
      <c r="AF44">
        <f t="shared" ref="AF44" si="32">(AA44+AB44)/(F44+G44)</f>
        <v>0</v>
      </c>
      <c r="AG44" s="6">
        <f t="shared" ref="AG44" si="33">(Q44+W44)/B44</f>
        <v>0.75755637294098832</v>
      </c>
      <c r="AH44" s="6">
        <f t="shared" ref="AH44" si="34">(T44+Z44)/E44</f>
        <v>0.97603269856618735</v>
      </c>
      <c r="AI44" s="6">
        <f t="shared" ref="AI44" si="35">(R44+X44)/C44</f>
        <v>0.76044728434504794</v>
      </c>
      <c r="AJ44" s="6">
        <f t="shared" ref="AJ44" si="36">(U44+V44+AA44+AB44)/(F44+G44)</f>
        <v>1.2926315444776151</v>
      </c>
    </row>
    <row r="45" spans="1:36" x14ac:dyDescent="0.25">
      <c r="A45" s="4" t="s">
        <v>72</v>
      </c>
      <c r="I45" s="6">
        <f>SUM(I4:I44)/41</f>
        <v>1.0997813936724636</v>
      </c>
      <c r="J45" s="6"/>
      <c r="K45" s="6">
        <f>SUM(K4:K44)/41</f>
        <v>1.5324896449890528</v>
      </c>
    </row>
    <row r="46" spans="1:36" x14ac:dyDescent="0.25">
      <c r="A46" s="4" t="s">
        <v>68</v>
      </c>
    </row>
    <row r="47" spans="1:36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7"/>
  <sheetViews>
    <sheetView zoomScaleNormal="100" workbookViewId="0">
      <pane xSplit="1" ySplit="3" topLeftCell="M31" activePane="bottomRight" state="frozen"/>
      <selection pane="topRight" activeCell="B1" sqref="B1"/>
      <selection pane="bottomLeft" activeCell="A4" sqref="A4"/>
      <selection pane="bottomRight" activeCell="M45" sqref="M45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47" t="s">
        <v>73</v>
      </c>
    </row>
    <row r="3" spans="1:37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4" t="s">
        <v>25</v>
      </c>
      <c r="AH3" s="14" t="s">
        <v>26</v>
      </c>
      <c r="AI3" s="14" t="s">
        <v>25</v>
      </c>
      <c r="AJ3" s="14" t="s">
        <v>26</v>
      </c>
      <c r="AK3" s="47" t="s">
        <v>19</v>
      </c>
    </row>
    <row r="4" spans="1:37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5">
        <f>'31.12.2018'!O4</f>
        <v>1.5860000000000001</v>
      </c>
      <c r="N4" s="53">
        <v>2.38</v>
      </c>
      <c r="O4" s="55">
        <f>'31.12.2018'!Q4</f>
        <v>1.895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 t="shared" ref="AG4:AG25" si="0">(Q4+W4)/B4</f>
        <v>1.3378944945866438</v>
      </c>
      <c r="AH4" s="55">
        <f t="shared" ref="AH4:AH25" si="1">(T4+Z4)/E4</f>
        <v>2.1815022088343299</v>
      </c>
      <c r="AI4" s="55">
        <f t="shared" ref="AI4:AI25" si="2">(R4+X4)/C4</f>
        <v>2.0532136351808479</v>
      </c>
      <c r="AJ4" s="55">
        <f t="shared" ref="AJ4:AJ25" si="3">(U4+V4+AA4+AB4)/(F4+G4)</f>
        <v>3.0793226931744515</v>
      </c>
      <c r="AK4" s="6">
        <f>M4+O4</f>
        <v>3.4809999999999999</v>
      </c>
    </row>
    <row r="5" spans="1:37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5">
        <f>'31.12.2018'!O5</f>
        <v>1.4738867611752602</v>
      </c>
      <c r="N5" s="53">
        <v>2.38</v>
      </c>
      <c r="O5" s="55">
        <f>'31.12.2018'!Q5</f>
        <v>1.794210134554824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5">
        <f t="shared" si="0"/>
        <v>0.83448706250065552</v>
      </c>
      <c r="AH5" s="55">
        <f t="shared" si="1"/>
        <v>1.0513394445204542</v>
      </c>
      <c r="AI5" s="55">
        <f t="shared" si="2"/>
        <v>0.77812921961415382</v>
      </c>
      <c r="AJ5" s="55">
        <f t="shared" si="3"/>
        <v>1.2934140769794407</v>
      </c>
      <c r="AK5" s="55">
        <f t="shared" ref="AK5:AK42" si="8">M5+O5</f>
        <v>3.2680968957300842</v>
      </c>
    </row>
    <row r="6" spans="1:37" x14ac:dyDescent="0.25">
      <c r="A6" s="61" t="s">
        <v>29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5">
        <f>'31.12.2018'!O6</f>
        <v>0.78600000000000003</v>
      </c>
      <c r="N6" s="53">
        <v>2.38</v>
      </c>
      <c r="O6" s="55">
        <f>'31.12.2018'!Q6</f>
        <v>0.70799999999999996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4"/>
        <v>0.17665416825703317</v>
      </c>
      <c r="AD6" s="53">
        <f t="shared" si="5"/>
        <v>0.13488511580695767</v>
      </c>
      <c r="AE6" s="53"/>
      <c r="AF6" s="53"/>
      <c r="AG6" s="55">
        <f t="shared" si="0"/>
        <v>0.90567816969397608</v>
      </c>
      <c r="AH6" s="55">
        <f t="shared" si="1"/>
        <v>0.72390883085724844</v>
      </c>
      <c r="AI6" s="55"/>
      <c r="AJ6" s="55"/>
      <c r="AK6" s="55">
        <f t="shared" si="8"/>
        <v>1.494</v>
      </c>
    </row>
    <row r="7" spans="1:37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>'31.12.2018'!O7</f>
        <v>1.109478025482878</v>
      </c>
      <c r="N7" s="53">
        <v>2.38</v>
      </c>
      <c r="O7" s="55">
        <f>'31.12.2018'!Q7</f>
        <v>1.7021030826140564</v>
      </c>
      <c r="P7" s="55">
        <f>L7*1.2</f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5">
        <f t="shared" si="0"/>
        <v>0.79925338405195956</v>
      </c>
      <c r="AH7" s="55">
        <f t="shared" si="1"/>
        <v>1.0993674792544803</v>
      </c>
      <c r="AI7" s="55">
        <f t="shared" si="2"/>
        <v>0.80154772519621764</v>
      </c>
      <c r="AJ7" s="55">
        <f t="shared" si="3"/>
        <v>1.6965011825839753</v>
      </c>
      <c r="AK7" s="55">
        <f t="shared" si="8"/>
        <v>2.8115811080969344</v>
      </c>
    </row>
    <row r="8" spans="1:37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>'31.12.2018'!O8</f>
        <v>1.1639999999999999</v>
      </c>
      <c r="N8" s="53">
        <v>2.38</v>
      </c>
      <c r="O8" s="55">
        <f>'31.12.2018'!Q8</f>
        <v>1.8599999999999999</v>
      </c>
      <c r="P8" s="55">
        <f>L8*1.2</f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9">W8/B8</f>
        <v>0</v>
      </c>
      <c r="AD8" s="53">
        <f t="shared" ref="AD8" si="10">Z8/E8</f>
        <v>0</v>
      </c>
      <c r="AE8" s="53">
        <f t="shared" ref="AE8" si="11">(X8+Y8)/(C8+D8)</f>
        <v>0</v>
      </c>
      <c r="AF8" s="53">
        <f t="shared" ref="AF8" si="12">(AA8+AB8)/(F8+G8)</f>
        <v>0</v>
      </c>
      <c r="AG8" s="55">
        <f t="shared" ref="AG8" si="13">(Q8+W8)/B8</f>
        <v>0.79925338405195956</v>
      </c>
      <c r="AH8" s="55">
        <f t="shared" ref="AH8" si="14">(T8+Z8)/E8</f>
        <v>1.0993674792544803</v>
      </c>
      <c r="AI8" s="55">
        <f t="shared" ref="AI8" si="15">(R8+X8)/C8</f>
        <v>0.80154772519621764</v>
      </c>
      <c r="AJ8" s="55">
        <f t="shared" ref="AJ8" si="16">(U8+V8+AA8+AB8)/(F8+G8)</f>
        <v>1.6965011825839753</v>
      </c>
      <c r="AK8" s="55">
        <f t="shared" ref="AK8" si="17">M8+O8</f>
        <v>3.024</v>
      </c>
    </row>
    <row r="9" spans="1:37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5">
        <f>'31.12.2018'!O9</f>
        <v>1.56</v>
      </c>
      <c r="N9" s="53">
        <v>2.38</v>
      </c>
      <c r="O9" s="55">
        <f>'31.12.2018'!Q9</f>
        <v>2.34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5">
        <f t="shared" si="0"/>
        <v>0.88003251834997398</v>
      </c>
      <c r="AH9" s="55">
        <f t="shared" si="1"/>
        <v>1.2995790594155217</v>
      </c>
      <c r="AI9" s="55">
        <f t="shared" si="2"/>
        <v>1.0519376194565246</v>
      </c>
      <c r="AJ9" s="55">
        <f t="shared" si="3"/>
        <v>1.5630771489392941</v>
      </c>
      <c r="AK9" s="55">
        <f t="shared" si="8"/>
        <v>3.9</v>
      </c>
    </row>
    <row r="10" spans="1:37" x14ac:dyDescent="0.25">
      <c r="A10" s="61" t="s">
        <v>33</v>
      </c>
      <c r="B10" s="53">
        <v>12.874000000000001</v>
      </c>
      <c r="C10" s="53">
        <v>3.2320000000000002</v>
      </c>
      <c r="D10" s="53">
        <v>0</v>
      </c>
      <c r="E10" s="53">
        <v>12.874000000000001</v>
      </c>
      <c r="F10" s="53">
        <v>3.2320000000000002</v>
      </c>
      <c r="G10" s="53">
        <v>0</v>
      </c>
      <c r="H10" s="53">
        <v>44.454999999999998</v>
      </c>
      <c r="I10" s="53">
        <v>0.95</v>
      </c>
      <c r="J10" s="53">
        <v>0.95</v>
      </c>
      <c r="K10" s="53">
        <v>1.1299999999999999</v>
      </c>
      <c r="L10" s="49">
        <v>0</v>
      </c>
      <c r="M10" s="55">
        <f>'31.12.2018'!O10</f>
        <v>1.1399999999999999</v>
      </c>
      <c r="N10" s="53">
        <v>2.38</v>
      </c>
      <c r="O10" s="55">
        <f>'31.12.2018'!Q10</f>
        <v>1.36</v>
      </c>
      <c r="P10" s="49">
        <v>0</v>
      </c>
      <c r="Q10" s="53">
        <v>9.3949999999999996</v>
      </c>
      <c r="R10" s="53">
        <v>2.911</v>
      </c>
      <c r="S10" s="53">
        <v>0</v>
      </c>
      <c r="T10" s="53">
        <v>15.593999999999999</v>
      </c>
      <c r="U10" s="53">
        <v>3.556</v>
      </c>
      <c r="V10" s="49">
        <v>9.2550000000000008</v>
      </c>
      <c r="W10" s="53"/>
      <c r="X10" s="53"/>
      <c r="Y10" s="53"/>
      <c r="Z10" s="53"/>
      <c r="AA10" s="53"/>
      <c r="AB10" s="53"/>
      <c r="AC10" s="53">
        <f t="shared" si="4"/>
        <v>0</v>
      </c>
      <c r="AD10" s="53">
        <f t="shared" si="5"/>
        <v>0</v>
      </c>
      <c r="AE10" s="53">
        <f t="shared" si="6"/>
        <v>0</v>
      </c>
      <c r="AF10" s="53">
        <f t="shared" si="7"/>
        <v>0</v>
      </c>
      <c r="AG10" s="55">
        <f t="shared" si="0"/>
        <v>0.72976541867329492</v>
      </c>
      <c r="AH10" s="55">
        <f t="shared" si="1"/>
        <v>1.2112785459064781</v>
      </c>
      <c r="AI10" s="55">
        <f t="shared" si="2"/>
        <v>0.90068069306930687</v>
      </c>
      <c r="AJ10" s="55">
        <f t="shared" si="3"/>
        <v>3.9637995049504946</v>
      </c>
      <c r="AK10" s="55">
        <f t="shared" si="8"/>
        <v>2.5</v>
      </c>
    </row>
    <row r="11" spans="1:37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5">
        <f>'31.12.2018'!O11</f>
        <v>1.464</v>
      </c>
      <c r="N11" s="53">
        <v>2.38</v>
      </c>
      <c r="O11" s="55">
        <f>'31.12.2018'!Q11</f>
        <v>0.86759999999999993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1.0967769959169489E-2</v>
      </c>
      <c r="AD11" s="53">
        <f t="shared" si="5"/>
        <v>0</v>
      </c>
      <c r="AE11" s="53">
        <f t="shared" si="6"/>
        <v>0.10334020974245813</v>
      </c>
      <c r="AF11" s="53">
        <f t="shared" si="7"/>
        <v>0</v>
      </c>
      <c r="AG11" s="55">
        <f t="shared" si="0"/>
        <v>0.61889388411085056</v>
      </c>
      <c r="AH11" s="55">
        <f t="shared" si="1"/>
        <v>0.79558602983379723</v>
      </c>
      <c r="AI11" s="55">
        <f t="shared" si="2"/>
        <v>0.81573140314685566</v>
      </c>
      <c r="AJ11" s="55">
        <f t="shared" si="3"/>
        <v>0.84199271802577591</v>
      </c>
      <c r="AK11" s="55">
        <f t="shared" si="8"/>
        <v>2.3315999999999999</v>
      </c>
    </row>
    <row r="12" spans="1:37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5">
        <f>'31.12.2018'!O12</f>
        <v>1.3176000000000001</v>
      </c>
      <c r="N12" s="53">
        <v>2.38</v>
      </c>
      <c r="O12" s="55">
        <f>'31.12.2018'!Q12</f>
        <v>2.2080000000000002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5">
        <f t="shared" si="0"/>
        <v>0.97989817704056492</v>
      </c>
      <c r="AH12" s="55">
        <f t="shared" si="1"/>
        <v>1.299988393108823</v>
      </c>
      <c r="AI12" s="55">
        <f t="shared" si="2"/>
        <v>0.98074142916150364</v>
      </c>
      <c r="AJ12" s="55">
        <f t="shared" si="3"/>
        <v>1.7523994811932551</v>
      </c>
      <c r="AK12" s="55">
        <f t="shared" si="8"/>
        <v>3.5256000000000003</v>
      </c>
    </row>
    <row r="13" spans="1:37" x14ac:dyDescent="0.25">
      <c r="A13" s="61" t="s">
        <v>36</v>
      </c>
      <c r="B13" s="53">
        <v>36.872999999999998</v>
      </c>
      <c r="C13" s="53">
        <v>11.788</v>
      </c>
      <c r="D13" s="53">
        <v>0</v>
      </c>
      <c r="E13" s="53">
        <v>36.313000000000002</v>
      </c>
      <c r="F13" s="53">
        <v>7.87</v>
      </c>
      <c r="G13" s="53">
        <v>0</v>
      </c>
      <c r="H13" s="53"/>
      <c r="I13" s="53">
        <v>0.8</v>
      </c>
      <c r="J13" s="53">
        <v>0.8</v>
      </c>
      <c r="K13" s="53">
        <v>1.6</v>
      </c>
      <c r="L13" s="53">
        <v>1.6</v>
      </c>
      <c r="M13" s="55">
        <f>'31.12.2018'!O13</f>
        <v>1.0680000000000001</v>
      </c>
      <c r="N13" s="53">
        <v>2.38</v>
      </c>
      <c r="O13" s="55">
        <f>'31.12.2018'!Q13</f>
        <v>2.3879999999999999</v>
      </c>
      <c r="P13" s="53">
        <v>1.92</v>
      </c>
      <c r="Q13" s="53">
        <v>25.811</v>
      </c>
      <c r="R13" s="53">
        <v>8.2520000000000007</v>
      </c>
      <c r="S13" s="53">
        <v>0</v>
      </c>
      <c r="T13" s="53">
        <v>53.38</v>
      </c>
      <c r="U13" s="53">
        <v>11.569000000000001</v>
      </c>
      <c r="V13" s="53"/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5">
        <f t="shared" si="0"/>
        <v>0.69999728798850114</v>
      </c>
      <c r="AH13" s="55">
        <f t="shared" si="1"/>
        <v>1.4699969707818137</v>
      </c>
      <c r="AI13" s="55">
        <f t="shared" si="2"/>
        <v>0.70003393281303028</v>
      </c>
      <c r="AJ13" s="55">
        <f t="shared" si="3"/>
        <v>1.470012706480305</v>
      </c>
      <c r="AK13" s="55">
        <f t="shared" si="8"/>
        <v>3.456</v>
      </c>
    </row>
    <row r="14" spans="1:37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5">
        <f>'31.12.2018'!O14</f>
        <v>1.6319999999999999</v>
      </c>
      <c r="N14" s="53">
        <v>2.38</v>
      </c>
      <c r="O14" s="55">
        <f>'31.12.2018'!Q14</f>
        <v>1.8779999999999999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4"/>
        <v>0</v>
      </c>
      <c r="AD14" s="53">
        <f t="shared" si="5"/>
        <v>0</v>
      </c>
      <c r="AE14" s="53">
        <f t="shared" si="6"/>
        <v>0</v>
      </c>
      <c r="AF14" s="53">
        <f t="shared" si="7"/>
        <v>0</v>
      </c>
      <c r="AG14" s="55">
        <f t="shared" si="0"/>
        <v>1.1520338946782789</v>
      </c>
      <c r="AH14" s="55">
        <f t="shared" si="1"/>
        <v>1.3016703656114941</v>
      </c>
      <c r="AI14" s="55">
        <f t="shared" si="2"/>
        <v>1.2099607267705321</v>
      </c>
      <c r="AJ14" s="55">
        <f t="shared" si="3"/>
        <v>1.3286790266512165</v>
      </c>
      <c r="AK14" s="55">
        <f t="shared" si="8"/>
        <v>3.51</v>
      </c>
    </row>
    <row r="15" spans="1:37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>
        <f>'31.12.2018'!O15</f>
        <v>1.758</v>
      </c>
      <c r="N15" s="53">
        <v>2.38</v>
      </c>
      <c r="O15" s="55">
        <f>'31.12.2018'!Q15</f>
        <v>2.52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/>
      <c r="AH15" s="55"/>
      <c r="AI15" s="55"/>
      <c r="AJ15" s="55"/>
      <c r="AK15" s="55"/>
    </row>
    <row r="16" spans="1:37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5">
        <f>'31.12.2018'!O16</f>
        <v>1.3440000000000001</v>
      </c>
      <c r="N16" s="53">
        <v>2.38</v>
      </c>
      <c r="O16" s="55">
        <f>'31.12.2018'!Q16</f>
        <v>1.6439999999999999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4"/>
        <v>0.11849604637715984</v>
      </c>
      <c r="AD16" s="53">
        <f t="shared" si="5"/>
        <v>0.11882713454940048</v>
      </c>
      <c r="AE16" s="53">
        <f t="shared" si="6"/>
        <v>7.8722718617255022E-2</v>
      </c>
      <c r="AF16" s="53">
        <f t="shared" si="7"/>
        <v>6.5533099571828804E-2</v>
      </c>
      <c r="AG16" s="55">
        <f t="shared" si="0"/>
        <v>0.99849814896860367</v>
      </c>
      <c r="AH16" s="55">
        <f t="shared" si="1"/>
        <v>1.0288065780725819</v>
      </c>
      <c r="AI16" s="55">
        <f t="shared" si="2"/>
        <v>0.95872857770616671</v>
      </c>
      <c r="AJ16" s="55">
        <f t="shared" si="3"/>
        <v>0.97554666713653904</v>
      </c>
      <c r="AK16" s="55">
        <f t="shared" si="8"/>
        <v>2.988</v>
      </c>
    </row>
    <row r="17" spans="1:37" x14ac:dyDescent="0.25">
      <c r="A17" s="61" t="s">
        <v>40</v>
      </c>
      <c r="B17" s="53">
        <v>48.48</v>
      </c>
      <c r="C17" s="53">
        <v>6.8789999999999996</v>
      </c>
      <c r="D17" s="53">
        <v>7.4999999999999997E-2</v>
      </c>
      <c r="E17" s="53">
        <v>46.804000000000002</v>
      </c>
      <c r="F17" s="53">
        <v>4.7789999999999999</v>
      </c>
      <c r="G17" s="53"/>
      <c r="H17" s="53"/>
      <c r="I17" s="53">
        <v>1.1399999999999999</v>
      </c>
      <c r="J17" s="53">
        <v>1.68</v>
      </c>
      <c r="K17" s="53">
        <v>1.68</v>
      </c>
      <c r="L17" s="53">
        <v>2.71</v>
      </c>
      <c r="M17" s="55">
        <f>'31.12.2018'!O17</f>
        <v>1.5840000000000001</v>
      </c>
      <c r="N17" s="53">
        <v>2.38</v>
      </c>
      <c r="O17" s="55">
        <f>'31.12.2018'!Q17</f>
        <v>2.1720000000000002</v>
      </c>
      <c r="P17" s="53">
        <v>3.2519999999999998</v>
      </c>
      <c r="Q17" s="53">
        <v>55.267000000000003</v>
      </c>
      <c r="R17" s="53">
        <v>11.557</v>
      </c>
      <c r="S17" s="53">
        <v>0.126</v>
      </c>
      <c r="T17" s="53">
        <v>78.631</v>
      </c>
      <c r="U17" s="53">
        <v>12.951000000000001</v>
      </c>
      <c r="V17" s="53">
        <v>0</v>
      </c>
      <c r="W17" s="53">
        <v>7.694</v>
      </c>
      <c r="X17" s="53">
        <v>0.33</v>
      </c>
      <c r="Y17" s="53">
        <v>1.9E-2</v>
      </c>
      <c r="Z17" s="53">
        <v>0</v>
      </c>
      <c r="AA17" s="53">
        <v>0</v>
      </c>
      <c r="AB17" s="53">
        <v>0</v>
      </c>
      <c r="AC17" s="53">
        <f t="shared" si="4"/>
        <v>0.15870462046204623</v>
      </c>
      <c r="AD17" s="53">
        <f t="shared" si="5"/>
        <v>0</v>
      </c>
      <c r="AE17" s="53">
        <f t="shared" si="6"/>
        <v>5.0186942766752951E-2</v>
      </c>
      <c r="AF17" s="53">
        <f t="shared" si="7"/>
        <v>0</v>
      </c>
      <c r="AG17" s="55">
        <f t="shared" si="0"/>
        <v>1.2987004950495051</v>
      </c>
      <c r="AH17" s="55">
        <f t="shared" si="1"/>
        <v>1.6800059823946671</v>
      </c>
      <c r="AI17" s="55">
        <f t="shared" si="2"/>
        <v>1.7280127925570579</v>
      </c>
      <c r="AJ17" s="55">
        <f t="shared" si="3"/>
        <v>2.7099811676082863</v>
      </c>
      <c r="AK17" s="55">
        <f t="shared" si="8"/>
        <v>3.7560000000000002</v>
      </c>
    </row>
    <row r="18" spans="1:37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5">
        <f>'31.12.2018'!O18</f>
        <v>1.32</v>
      </c>
      <c r="N18" s="53">
        <v>2.38</v>
      </c>
      <c r="O18" s="55">
        <f>'31.12.2018'!Q18</f>
        <v>2.508</v>
      </c>
      <c r="P18" s="53"/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 s="53">
        <f t="shared" si="4"/>
        <v>6.9620980531868437E-2</v>
      </c>
      <c r="AD18" s="53">
        <f t="shared" si="5"/>
        <v>3.5452454816255349E-2</v>
      </c>
      <c r="AE18" s="53">
        <f t="shared" si="6"/>
        <v>6.6647452986526398E-2</v>
      </c>
      <c r="AF18" s="53">
        <f t="shared" si="7"/>
        <v>0</v>
      </c>
      <c r="AG18" s="55">
        <f t="shared" si="0"/>
        <v>0.51169926678465538</v>
      </c>
      <c r="AH18" s="55">
        <f t="shared" si="1"/>
        <v>1.0327977651216991</v>
      </c>
      <c r="AI18" s="55">
        <f t="shared" si="2"/>
        <v>0.87509244802366659</v>
      </c>
      <c r="AJ18" s="55">
        <f t="shared" si="3"/>
        <v>0.79187448988845555</v>
      </c>
      <c r="AK18" s="55">
        <f t="shared" si="8"/>
        <v>3.8280000000000003</v>
      </c>
    </row>
    <row r="19" spans="1:37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5">
        <f>'31.12.2018'!O19</f>
        <v>1.56</v>
      </c>
      <c r="N19" s="53">
        <v>2.38</v>
      </c>
      <c r="O19" s="55">
        <f>'31.12.2018'!Q19</f>
        <v>2.8079999999999998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4"/>
        <v>0</v>
      </c>
      <c r="AD19" s="53">
        <f t="shared" si="5"/>
        <v>0</v>
      </c>
      <c r="AE19" s="53">
        <f t="shared" si="6"/>
        <v>0</v>
      </c>
      <c r="AF19" s="53">
        <f t="shared" si="7"/>
        <v>0</v>
      </c>
      <c r="AG19" s="55">
        <f t="shared" si="0"/>
        <v>0.87942701671976364</v>
      </c>
      <c r="AH19" s="55">
        <f t="shared" si="1"/>
        <v>1.639238711141366</v>
      </c>
      <c r="AI19" s="55">
        <f t="shared" si="2"/>
        <v>1.0438565051643804</v>
      </c>
      <c r="AJ19" s="55">
        <f t="shared" si="3"/>
        <v>1.8885325850953669</v>
      </c>
      <c r="AK19" s="55">
        <f t="shared" si="8"/>
        <v>4.3680000000000003</v>
      </c>
    </row>
    <row r="20" spans="1:37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>
        <f>'31.12.2018'!O20</f>
        <v>1.0809578075099535</v>
      </c>
      <c r="N20" s="53">
        <v>2.38</v>
      </c>
      <c r="O20" s="55">
        <f>'31.12.2018'!Q20</f>
        <v>2.0458803989065744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5"/>
      <c r="AH20" s="55"/>
      <c r="AI20" s="55"/>
      <c r="AJ20" s="55"/>
      <c r="AK20" s="55">
        <f t="shared" si="8"/>
        <v>3.1268382064165277</v>
      </c>
    </row>
    <row r="21" spans="1:37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'31.12.2018'!O21</f>
        <v>1.476</v>
      </c>
      <c r="N21" s="53">
        <v>2.38</v>
      </c>
      <c r="O21" s="55">
        <f>'31.12.2018'!Q21</f>
        <v>2.34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4"/>
        <v>5.9174293350611491E-3</v>
      </c>
      <c r="AD21" s="53">
        <f t="shared" si="5"/>
        <v>5.889227873654812E-3</v>
      </c>
      <c r="AE21" s="53">
        <f t="shared" si="6"/>
        <v>1.4628205774898577E-3</v>
      </c>
      <c r="AF21" s="53">
        <f t="shared" si="7"/>
        <v>9.4609936746499425E-4</v>
      </c>
      <c r="AG21" s="55">
        <f t="shared" si="0"/>
        <v>0.88369138252207025</v>
      </c>
      <c r="AH21" s="55">
        <f t="shared" si="1"/>
        <v>1.6710127549342522</v>
      </c>
      <c r="AI21" s="55">
        <f t="shared" si="2"/>
        <v>0.94171776930670958</v>
      </c>
      <c r="AJ21" s="55">
        <f t="shared" si="3"/>
        <v>2.1638049413418394</v>
      </c>
      <c r="AK21" s="55">
        <f t="shared" si="8"/>
        <v>3.8159999999999998</v>
      </c>
    </row>
    <row r="22" spans="1:37" x14ac:dyDescent="0.25">
      <c r="A22" s="61" t="s">
        <v>45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5">
        <f>'31.12.2018'!O22</f>
        <v>1.5960000000000001</v>
      </c>
      <c r="N22" s="53">
        <v>2.38</v>
      </c>
      <c r="O22" s="55">
        <f>'31.12.2018'!Q22</f>
        <v>2.004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4"/>
        <v>0</v>
      </c>
      <c r="AD22" s="53">
        <f t="shared" si="5"/>
        <v>0</v>
      </c>
      <c r="AE22" s="53">
        <f t="shared" si="6"/>
        <v>0</v>
      </c>
      <c r="AF22" s="53">
        <f t="shared" si="7"/>
        <v>0</v>
      </c>
      <c r="AG22" s="55">
        <f t="shared" si="0"/>
        <v>0.76225327123530717</v>
      </c>
      <c r="AH22" s="55">
        <f t="shared" si="1"/>
        <v>1.0803619386026526</v>
      </c>
      <c r="AI22" s="55">
        <f t="shared" si="2"/>
        <v>0.9160878332959892</v>
      </c>
      <c r="AJ22" s="55">
        <f t="shared" si="3"/>
        <v>1.621903520208605</v>
      </c>
      <c r="AK22" s="55">
        <f t="shared" si="8"/>
        <v>3.6</v>
      </c>
    </row>
    <row r="23" spans="1:37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5">
        <f>'31.12.2018'!O23</f>
        <v>1.1435999999999999</v>
      </c>
      <c r="N23" s="53">
        <v>2.38</v>
      </c>
      <c r="O23" s="55">
        <f>'31.12.2018'!Q23</f>
        <v>3.0059999999999998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5">
        <f t="shared" si="0"/>
        <v>1.0845812438757276</v>
      </c>
      <c r="AH23" s="55">
        <f t="shared" si="1"/>
        <v>1.373533830622842</v>
      </c>
      <c r="AI23" s="55">
        <f t="shared" si="2"/>
        <v>1.080019864260884</v>
      </c>
      <c r="AJ23" s="55">
        <f t="shared" si="3"/>
        <v>1.3716961563845502</v>
      </c>
      <c r="AK23" s="55">
        <f t="shared" si="8"/>
        <v>4.1495999999999995</v>
      </c>
    </row>
    <row r="24" spans="1:37" x14ac:dyDescent="0.25">
      <c r="A24" s="61" t="s">
        <v>47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5">
        <f>'31.12.2018'!O24</f>
        <v>1.05</v>
      </c>
      <c r="N24" s="53">
        <v>2.38</v>
      </c>
      <c r="O24" s="55">
        <f>'31.12.2018'!Q24</f>
        <v>1.65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4"/>
        <v>0</v>
      </c>
      <c r="AD24" s="53">
        <f t="shared" si="5"/>
        <v>0</v>
      </c>
      <c r="AE24" s="53">
        <f t="shared" si="6"/>
        <v>0</v>
      </c>
      <c r="AF24" s="53">
        <f t="shared" si="7"/>
        <v>0</v>
      </c>
      <c r="AG24" s="55">
        <f t="shared" si="0"/>
        <v>0.88999817651349378</v>
      </c>
      <c r="AH24" s="55">
        <f t="shared" si="1"/>
        <v>0.8942359891425834</v>
      </c>
      <c r="AI24" s="55">
        <f t="shared" si="2"/>
        <v>1.2799895914650012</v>
      </c>
      <c r="AJ24" s="55">
        <f t="shared" si="3"/>
        <v>1.469523117889131</v>
      </c>
      <c r="AK24" s="55">
        <f t="shared" si="8"/>
        <v>2.7</v>
      </c>
    </row>
    <row r="25" spans="1:37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5">
        <f>'31.12.2018'!O25</f>
        <v>1.716</v>
      </c>
      <c r="N25" s="53">
        <v>2.38</v>
      </c>
      <c r="O25" s="55">
        <f>'31.12.2018'!Q25</f>
        <v>1.8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5">
        <f t="shared" si="0"/>
        <v>0.75615624673314896</v>
      </c>
      <c r="AH25" s="55">
        <f t="shared" si="1"/>
        <v>1.2315762399589876</v>
      </c>
      <c r="AI25" s="55">
        <f t="shared" si="2"/>
        <v>0.65771646125267458</v>
      </c>
      <c r="AJ25" s="55">
        <f t="shared" si="3"/>
        <v>1.1102469659745284</v>
      </c>
      <c r="AK25" s="55">
        <f t="shared" si="8"/>
        <v>3.516</v>
      </c>
    </row>
    <row r="26" spans="1:37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5">
        <f>'31.12.2018'!O26</f>
        <v>0.88800000000000001</v>
      </c>
      <c r="N26" s="53">
        <v>2.38</v>
      </c>
      <c r="O26" s="55">
        <f>'31.12.2018'!Q26</f>
        <v>1.788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5">
        <f>(Q26+W26)/B26</f>
        <v>0.94997561885093085</v>
      </c>
      <c r="AH26" s="55">
        <f>(T26+Z26)/E26</f>
        <v>1.199990389697756</v>
      </c>
      <c r="AI26" s="55">
        <f>(R26+X26)/C26</f>
        <v>1.0500039249548629</v>
      </c>
      <c r="AJ26" s="55">
        <f>(U26+V26+AA26+AB26)/(F26+G26)</f>
        <v>1.4598601909633748</v>
      </c>
      <c r="AK26" s="55">
        <f t="shared" si="8"/>
        <v>2.6760000000000002</v>
      </c>
    </row>
    <row r="27" spans="1:37" x14ac:dyDescent="0.25">
      <c r="A27" s="64" t="s">
        <v>50</v>
      </c>
      <c r="B27" s="53">
        <v>86.088999999999999</v>
      </c>
      <c r="C27" s="53">
        <v>29.715</v>
      </c>
      <c r="D27" s="53">
        <v>1.278</v>
      </c>
      <c r="E27" s="53">
        <v>83.031999999999996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5">
        <f>'31.12.2018'!O27</f>
        <v>1.44</v>
      </c>
      <c r="N27" s="53">
        <v>2.38</v>
      </c>
      <c r="O27" s="55">
        <f>'31.12.2018'!Q27</f>
        <v>1.38</v>
      </c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4"/>
        <v>0</v>
      </c>
      <c r="AD27" s="53">
        <f t="shared" si="5"/>
        <v>0</v>
      </c>
      <c r="AE27" s="53">
        <f t="shared" si="6"/>
        <v>0</v>
      </c>
      <c r="AF27" s="53">
        <f t="shared" si="7"/>
        <v>0</v>
      </c>
      <c r="AG27" s="55">
        <f t="shared" ref="AG27:AG42" si="18">(Q27+W27)/B27</f>
        <v>0.62302965535666577</v>
      </c>
      <c r="AH27" s="55">
        <f t="shared" ref="AH27:AH42" si="19">(T27+Z27)/E27</f>
        <v>1.2065107428461317</v>
      </c>
      <c r="AI27" s="55">
        <f t="shared" ref="AI27:AI42" si="20">(R27+X27)/C27</f>
        <v>0.89567558472152109</v>
      </c>
      <c r="AJ27" s="55">
        <f t="shared" ref="AJ27:AJ42" si="21">(U27+V27+AA27+AB27)/(F27+G27)</f>
        <v>1.4802664508036163</v>
      </c>
      <c r="AK27" s="55">
        <f t="shared" si="8"/>
        <v>2.82</v>
      </c>
    </row>
    <row r="28" spans="1:37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5">
        <f>'31.12.2018'!O28</f>
        <v>0.91200000000000003</v>
      </c>
      <c r="N28" s="53">
        <v>2.38</v>
      </c>
      <c r="O28" s="55">
        <f>'31.12.2018'!Q28</f>
        <v>1.3680000000000001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5">
        <f t="shared" si="18"/>
        <v>0.76399873769748139</v>
      </c>
      <c r="AH28" s="55">
        <f t="shared" si="19"/>
        <v>0.64499962748652739</v>
      </c>
      <c r="AI28" s="55">
        <f t="shared" si="20"/>
        <v>0.76400345399595515</v>
      </c>
      <c r="AJ28" s="55">
        <f t="shared" si="21"/>
        <v>0.64499891706945289</v>
      </c>
      <c r="AK28" s="55">
        <f t="shared" si="8"/>
        <v>2.2800000000000002</v>
      </c>
    </row>
    <row r="29" spans="1:37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>
        <f>'31.12.2018'!O29</f>
        <v>2.5099999999999998</v>
      </c>
      <c r="N29" s="53">
        <v>2.38</v>
      </c>
      <c r="O29" s="55">
        <f>'31.12.2018'!Q29</f>
        <v>2.5299999999999998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/>
      <c r="AH29" s="55"/>
      <c r="AI29" s="55"/>
      <c r="AJ29" s="55"/>
      <c r="AK29" s="55"/>
    </row>
    <row r="30" spans="1:37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>
        <f>'31.12.2018'!O30</f>
        <v>1.1519999999999999</v>
      </c>
      <c r="N30" s="53">
        <v>2.38</v>
      </c>
      <c r="O30" s="55">
        <f>'31.12.2018'!Q30</f>
        <v>1.536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/>
      <c r="AH30" s="55"/>
      <c r="AI30" s="55"/>
      <c r="AJ30" s="55"/>
      <c r="AK30" s="55"/>
    </row>
    <row r="31" spans="1:37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5">
        <f>'31.12.2018'!O31</f>
        <v>1.5047999999999999</v>
      </c>
      <c r="N31" s="53">
        <v>2.38</v>
      </c>
      <c r="O31" s="55">
        <f>'31.12.2018'!Q31</f>
        <v>1.5755999999999999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5">
        <f t="shared" si="18"/>
        <v>0.72615968478812642</v>
      </c>
      <c r="AH31" s="55">
        <f t="shared" si="19"/>
        <v>0.91472088969194165</v>
      </c>
      <c r="AI31" s="55">
        <f t="shared" si="20"/>
        <v>0.71665866739007955</v>
      </c>
      <c r="AJ31" s="55">
        <f t="shared" si="21"/>
        <v>0.93633352400462933</v>
      </c>
      <c r="AK31" s="55">
        <f t="shared" si="8"/>
        <v>3.0804</v>
      </c>
    </row>
    <row r="32" spans="1:37" x14ac:dyDescent="0.25">
      <c r="A32" s="61" t="s">
        <v>55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5">
        <f>'31.12.2018'!O32</f>
        <v>1.1160000000000001</v>
      </c>
      <c r="N32" s="53">
        <v>2.38</v>
      </c>
      <c r="O32" s="55">
        <f>'31.12.2018'!Q32</f>
        <v>0.996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 t="shared" si="18"/>
        <v>1.1361670232202252</v>
      </c>
      <c r="AH32" s="55">
        <f t="shared" si="19"/>
        <v>1.1442430025445292</v>
      </c>
      <c r="AI32" s="55">
        <f t="shared" si="20"/>
        <v>1.2921573137074518</v>
      </c>
      <c r="AJ32" s="55">
        <f t="shared" si="21"/>
        <v>1.9963516839043864</v>
      </c>
      <c r="AK32" s="55">
        <f t="shared" si="8"/>
        <v>2.1120000000000001</v>
      </c>
    </row>
    <row r="33" spans="1:37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5">
        <f>'31.12.2018'!O33</f>
        <v>1.3440000000000001</v>
      </c>
      <c r="N33" s="53">
        <v>2.38</v>
      </c>
      <c r="O33" s="55">
        <f>'31.12.2018'!Q33</f>
        <v>2.028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5">
        <f t="shared" si="18"/>
        <v>0.76098776051466765</v>
      </c>
      <c r="AH33" s="55">
        <f t="shared" si="19"/>
        <v>0.58309961193879967</v>
      </c>
      <c r="AI33" s="55">
        <f t="shared" si="20"/>
        <v>0.89000139840581727</v>
      </c>
      <c r="AJ33" s="55">
        <f t="shared" si="21"/>
        <v>0.85747002559612018</v>
      </c>
      <c r="AK33" s="55">
        <f t="shared" si="8"/>
        <v>3.3719999999999999</v>
      </c>
    </row>
    <row r="34" spans="1:37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5">
        <f>'31.12.2018'!O34</f>
        <v>1.1399999999999999</v>
      </c>
      <c r="N34" s="53">
        <v>2.38</v>
      </c>
      <c r="O34" s="55">
        <f>'31.12.2018'!Q34</f>
        <v>0.94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5">
        <f t="shared" si="18"/>
        <v>0.91588165515316444</v>
      </c>
      <c r="AH34" s="55">
        <f t="shared" si="19"/>
        <v>1.3636522205823158</v>
      </c>
      <c r="AI34" s="55">
        <f t="shared" si="20"/>
        <v>1.540762331838565</v>
      </c>
      <c r="AJ34" s="55">
        <f t="shared" si="21"/>
        <v>2.2919541323690349</v>
      </c>
      <c r="AK34" s="55">
        <f t="shared" si="8"/>
        <v>2.08</v>
      </c>
    </row>
    <row r="35" spans="1:37" x14ac:dyDescent="0.25">
      <c r="A35" s="61" t="s">
        <v>58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5">
        <f>'31.12.2018'!O35</f>
        <v>1.08</v>
      </c>
      <c r="N35" s="53">
        <v>2.38</v>
      </c>
      <c r="O35" s="55">
        <f>'31.12.2018'!Q35</f>
        <v>1.4159999999999999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4"/>
        <v>0</v>
      </c>
      <c r="AD35" s="53">
        <f t="shared" si="5"/>
        <v>0</v>
      </c>
      <c r="AE35" s="53">
        <f t="shared" si="6"/>
        <v>0</v>
      </c>
      <c r="AF35" s="53">
        <f t="shared" si="7"/>
        <v>0</v>
      </c>
      <c r="AG35" s="55">
        <f t="shared" si="18"/>
        <v>0.95</v>
      </c>
      <c r="AH35" s="55">
        <f t="shared" si="19"/>
        <v>0.78000585480093676</v>
      </c>
      <c r="AI35" s="55">
        <f t="shared" si="20"/>
        <v>2.122851919561243</v>
      </c>
      <c r="AJ35" s="55">
        <f t="shared" si="21"/>
        <v>1.4646207974980454</v>
      </c>
      <c r="AK35" s="55">
        <f t="shared" si="8"/>
        <v>2.496</v>
      </c>
    </row>
    <row r="36" spans="1:37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5">
        <f>'31.12.2018'!O36</f>
        <v>0.73899999999999999</v>
      </c>
      <c r="N36" s="53">
        <v>2.38</v>
      </c>
      <c r="O36" s="55">
        <f>'31.12.2018'!Q36</f>
        <v>1.296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5">
        <f t="shared" si="18"/>
        <v>0.89198693402935159</v>
      </c>
      <c r="AH36" s="55">
        <f t="shared" si="19"/>
        <v>1.125046284051838</v>
      </c>
      <c r="AI36" s="55">
        <f t="shared" si="20"/>
        <v>1.0499937382592361</v>
      </c>
      <c r="AJ36" s="55">
        <f t="shared" si="21"/>
        <v>1.3250159948816378</v>
      </c>
      <c r="AK36" s="55">
        <f t="shared" si="8"/>
        <v>2.0350000000000001</v>
      </c>
    </row>
    <row r="37" spans="1:37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5">
        <f>'31.12.2018'!O37</f>
        <v>1.8359999999999999</v>
      </c>
      <c r="N37" s="53">
        <v>2.38</v>
      </c>
      <c r="O37" s="55">
        <f>'31.12.2018'!Q37</f>
        <v>1.92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5">
        <f t="shared" si="18"/>
        <v>0.58041581642691309</v>
      </c>
      <c r="AH37" s="55">
        <f t="shared" si="19"/>
        <v>1.0000077174352295</v>
      </c>
      <c r="AI37" s="55">
        <f t="shared" si="20"/>
        <v>0.58043368497948133</v>
      </c>
      <c r="AJ37" s="55">
        <f t="shared" si="21"/>
        <v>1.3255250168251249</v>
      </c>
      <c r="AK37" s="55">
        <f t="shared" si="8"/>
        <v>3.7559999999999998</v>
      </c>
    </row>
    <row r="38" spans="1:37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5">
        <f>'31.12.2018'!O38</f>
        <v>1.365</v>
      </c>
      <c r="N38" s="53">
        <v>2.38</v>
      </c>
      <c r="O38" s="55">
        <f>'31.12.2018'!Q38</f>
        <v>1.6279999999999999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5">
        <f t="shared" si="18"/>
        <v>0.79768577372009708</v>
      </c>
      <c r="AH38" s="55">
        <f t="shared" si="19"/>
        <v>0.90181023221093604</v>
      </c>
      <c r="AI38" s="55">
        <f t="shared" si="20"/>
        <v>0.95315272684254126</v>
      </c>
      <c r="AJ38" s="55">
        <f t="shared" si="21"/>
        <v>1.0535346012832263</v>
      </c>
      <c r="AK38" s="55">
        <f t="shared" si="8"/>
        <v>2.9929999999999999</v>
      </c>
    </row>
    <row r="39" spans="1:37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5">
        <f>'31.12.2018'!O39</f>
        <v>1.2170000000000001</v>
      </c>
      <c r="N39" s="53">
        <v>2.38</v>
      </c>
      <c r="O39" s="55">
        <f>'31.12.2018'!Q39</f>
        <v>1.92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5">
        <f t="shared" si="18"/>
        <v>1.0076549220165065</v>
      </c>
      <c r="AH39" s="55">
        <f t="shared" si="19"/>
        <v>1.1770239741039215</v>
      </c>
      <c r="AI39" s="55">
        <f t="shared" si="20"/>
        <v>1.0085282298863867</v>
      </c>
      <c r="AJ39" s="55">
        <f t="shared" si="21"/>
        <v>1.1675336016402156</v>
      </c>
      <c r="AK39" s="55">
        <f t="shared" si="8"/>
        <v>3.137</v>
      </c>
    </row>
    <row r="40" spans="1:37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5">
        <f>'31.12.2018'!O40</f>
        <v>1.0549999999999999</v>
      </c>
      <c r="N40" s="53">
        <v>2.38</v>
      </c>
      <c r="O40" s="55">
        <f>'31.12.2018'!Q40</f>
        <v>2.298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5"/>
      <c r="AH40" s="55"/>
      <c r="AI40" s="55"/>
      <c r="AJ40" s="55"/>
      <c r="AK40" s="55"/>
    </row>
    <row r="41" spans="1:37" x14ac:dyDescent="0.25">
      <c r="A41" s="61" t="s">
        <v>64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5">
        <f>'31.12.2018'!O41</f>
        <v>1.5</v>
      </c>
      <c r="N41" s="53">
        <v>2.38</v>
      </c>
      <c r="O41" s="55">
        <f>'31.12.2018'!Q41</f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4"/>
        <v>0</v>
      </c>
      <c r="AD41" s="53">
        <f t="shared" si="5"/>
        <v>0</v>
      </c>
      <c r="AE41" s="53">
        <f t="shared" si="6"/>
        <v>0</v>
      </c>
      <c r="AF41" s="53">
        <f t="shared" si="7"/>
        <v>0</v>
      </c>
      <c r="AG41" s="55">
        <f t="shared" si="18"/>
        <v>1.2526459031823802</v>
      </c>
      <c r="AH41" s="55">
        <f t="shared" si="19"/>
        <v>1.8533815584036302</v>
      </c>
      <c r="AI41" s="55">
        <f t="shared" si="20"/>
        <v>1.629702444208289</v>
      </c>
      <c r="AJ41" s="55">
        <f t="shared" si="21"/>
        <v>1.8465690408648316</v>
      </c>
      <c r="AK41" s="55">
        <f t="shared" si="8"/>
        <v>3.84</v>
      </c>
    </row>
    <row r="42" spans="1:37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5">
        <f>'31.12.2018'!O42</f>
        <v>0.92400000000000004</v>
      </c>
      <c r="N42" s="53">
        <v>2.38</v>
      </c>
      <c r="O42" s="55">
        <f>'31.12.2018'!Q42</f>
        <v>1.296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5">
        <f t="shared" si="18"/>
        <v>0.75755637294098832</v>
      </c>
      <c r="AH42" s="55">
        <f t="shared" si="19"/>
        <v>0.97603269856618735</v>
      </c>
      <c r="AI42" s="55">
        <f t="shared" si="20"/>
        <v>0.76044728434504794</v>
      </c>
      <c r="AJ42" s="55">
        <f t="shared" si="21"/>
        <v>1.2926315444776151</v>
      </c>
      <c r="AK42" s="55">
        <f t="shared" si="8"/>
        <v>2.2200000000000002</v>
      </c>
    </row>
    <row r="43" spans="1:37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5">
        <f>'31.12.2018'!O43</f>
        <v>1.2</v>
      </c>
      <c r="N43" s="53">
        <v>2.38</v>
      </c>
      <c r="O43" s="55">
        <f>'31.12.2018'!Q43</f>
        <v>1.8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22">W43/B43</f>
        <v>0</v>
      </c>
      <c r="AD43" s="53">
        <f t="shared" ref="AD43" si="23">Z43/E43</f>
        <v>0</v>
      </c>
      <c r="AE43" s="53">
        <f t="shared" ref="AE43" si="24">(X43+Y43)/(C43+D43)</f>
        <v>0</v>
      </c>
      <c r="AF43" s="53">
        <f t="shared" ref="AF43" si="25">(AA43+AB43)/(F43+G43)</f>
        <v>0</v>
      </c>
      <c r="AG43" s="55">
        <f t="shared" ref="AG43" si="26">(Q43+W43)/B43</f>
        <v>0.75755637294098832</v>
      </c>
      <c r="AH43" s="55">
        <f t="shared" ref="AH43" si="27">(T43+Z43)/E43</f>
        <v>0.97603269856618735</v>
      </c>
      <c r="AI43" s="55">
        <f t="shared" ref="AI43" si="28">(R43+X43)/C43</f>
        <v>0.76044728434504794</v>
      </c>
      <c r="AJ43" s="55">
        <f t="shared" ref="AJ43" si="29">(U43+V43+AA43+AB43)/(F43+G43)</f>
        <v>1.2926315444776151</v>
      </c>
      <c r="AK43" s="55">
        <f t="shared" ref="AK43" si="30">M43+O43</f>
        <v>3</v>
      </c>
    </row>
    <row r="44" spans="1:37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5">
        <f>'31.12.2018'!O44</f>
        <v>1.1759999999999999</v>
      </c>
      <c r="N44" s="53">
        <v>2.38</v>
      </c>
      <c r="O44" s="55">
        <f>'31.12.2018'!Q44</f>
        <v>1.8480000000000001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1">W44/B44</f>
        <v>0</v>
      </c>
      <c r="AD44" s="53">
        <f t="shared" ref="AD44" si="32">Z44/E44</f>
        <v>0</v>
      </c>
      <c r="AE44" s="53">
        <f t="shared" ref="AE44" si="33">(X44+Y44)/(C44+D44)</f>
        <v>0</v>
      </c>
      <c r="AF44" s="53">
        <f t="shared" ref="AF44" si="34">(AA44+AB44)/(F44+G44)</f>
        <v>0</v>
      </c>
      <c r="AG44" s="55">
        <f t="shared" ref="AG44" si="35">(Q44+W44)/B44</f>
        <v>0.75755637294098832</v>
      </c>
      <c r="AH44" s="55">
        <f t="shared" ref="AH44" si="36">(T44+Z44)/E44</f>
        <v>0.97603269856618735</v>
      </c>
      <c r="AI44" s="55">
        <f t="shared" ref="AI44" si="37">(R44+X44)/C44</f>
        <v>0.76044728434504794</v>
      </c>
      <c r="AJ44" s="55">
        <f t="shared" ref="AJ44" si="38">(U44+V44+AA44+AB44)/(F44+G44)</f>
        <v>1.2926315444776151</v>
      </c>
      <c r="AK44" s="55">
        <f t="shared" ref="AK44" si="39">M44+O44</f>
        <v>3.024</v>
      </c>
    </row>
    <row r="45" spans="1:37" x14ac:dyDescent="0.25">
      <c r="A45" s="4" t="s">
        <v>72</v>
      </c>
      <c r="M45" s="6">
        <f>SUM(M4:M44)/41</f>
        <v>1.3177639657114169</v>
      </c>
      <c r="N45" s="6"/>
      <c r="O45" s="6">
        <f>SUM(O4:O44)/41</f>
        <v>1.8390827711237916</v>
      </c>
    </row>
    <row r="46" spans="1:37" x14ac:dyDescent="0.25">
      <c r="A46" s="4" t="s">
        <v>68</v>
      </c>
    </row>
    <row r="47" spans="1:37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47"/>
  <sheetViews>
    <sheetView zoomScaleNormal="100" workbookViewId="0">
      <pane xSplit="1" ySplit="3" topLeftCell="AI23" activePane="bottomRight" state="frozen"/>
      <selection pane="topRight" activeCell="B1" sqref="B1"/>
      <selection pane="bottomLeft" activeCell="A4" sqref="A4"/>
      <selection pane="bottomRight" activeCell="AJ45" sqref="AJ45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 t="s">
        <v>3</v>
      </c>
      <c r="AL1" s="12"/>
      <c r="AM1" s="12"/>
      <c r="AN1" s="13"/>
      <c r="AP1" s="4"/>
    </row>
    <row r="2" spans="1:42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74</v>
      </c>
      <c r="AJ2" s="16" t="s">
        <v>75</v>
      </c>
      <c r="AK2" s="11" t="s">
        <v>16</v>
      </c>
      <c r="AL2" s="13"/>
      <c r="AM2" s="11" t="s">
        <v>17</v>
      </c>
      <c r="AN2" s="13"/>
    </row>
    <row r="3" spans="1:42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7" t="s">
        <v>25</v>
      </c>
      <c r="AH3" s="17" t="s">
        <v>26</v>
      </c>
      <c r="AI3" s="17" t="s">
        <v>25</v>
      </c>
      <c r="AJ3" s="17" t="s">
        <v>26</v>
      </c>
      <c r="AK3" s="14" t="s">
        <v>25</v>
      </c>
      <c r="AL3" s="14" t="s">
        <v>26</v>
      </c>
      <c r="AM3" s="14" t="s">
        <v>25</v>
      </c>
      <c r="AN3" s="14" t="s">
        <v>26</v>
      </c>
    </row>
    <row r="4" spans="1:42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'31.12.2018'!AK4</f>
        <v>1.5864</v>
      </c>
      <c r="AJ4" s="55">
        <f>'31.12.2018'!AL4</f>
        <v>1.8947999999999998</v>
      </c>
      <c r="AK4" s="55">
        <f t="shared" ref="AK4:AK25" si="0">(Q4+W4)/B4</f>
        <v>1.3378944945866438</v>
      </c>
      <c r="AL4" s="55">
        <f t="shared" ref="AL4:AL25" si="1">(T4+Z4)/E4</f>
        <v>2.1815022088343299</v>
      </c>
      <c r="AM4" s="55">
        <f t="shared" ref="AM4:AM25" si="2">(R4+X4)/C4</f>
        <v>2.0532136351808479</v>
      </c>
      <c r="AN4" s="55">
        <f t="shared" ref="AN4:AN25" si="3">(U4+V4+AA4+AB4)/(F4+G4)</f>
        <v>3.0793226931744515</v>
      </c>
    </row>
    <row r="5" spans="1:42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3" si="4">W5/B5</f>
        <v>0</v>
      </c>
      <c r="AD5" s="53">
        <f t="shared" ref="AD5:AD43" si="5">Z5/E5</f>
        <v>0</v>
      </c>
      <c r="AE5" s="53">
        <f t="shared" ref="AE5:AE43" si="6">(X5+Y5)/(C5+D5)</f>
        <v>0</v>
      </c>
      <c r="AF5" s="53">
        <f t="shared" ref="AF5:AF43" si="7">(AA5+AB5)/(F5+G5)</f>
        <v>0</v>
      </c>
      <c r="AG5" s="53">
        <f t="shared" ref="AG5:AG43" si="8">I5+AC5</f>
        <v>0.9</v>
      </c>
      <c r="AH5" s="53">
        <f t="shared" ref="AH5:AH43" si="9">K5+AD5</f>
        <v>1.0900000000000001</v>
      </c>
      <c r="AI5" s="55">
        <f>'31.12.2018'!AK5</f>
        <v>1.4738867611752602</v>
      </c>
      <c r="AJ5" s="55">
        <f>'31.12.2018'!AL5</f>
        <v>1.794210134554824</v>
      </c>
      <c r="AK5" s="55">
        <f t="shared" si="0"/>
        <v>0.83448706250065552</v>
      </c>
      <c r="AL5" s="55">
        <f t="shared" si="1"/>
        <v>1.0513394445204542</v>
      </c>
      <c r="AM5" s="55">
        <f t="shared" si="2"/>
        <v>0.77812921961415382</v>
      </c>
      <c r="AN5" s="55">
        <f t="shared" si="3"/>
        <v>1.2934140769794407</v>
      </c>
    </row>
    <row r="6" spans="1:42" s="15" customFormat="1" x14ac:dyDescent="0.25">
      <c r="A6" s="61" t="s">
        <v>29</v>
      </c>
      <c r="B6" s="65">
        <v>44.539000000000001</v>
      </c>
      <c r="C6" s="65">
        <v>0</v>
      </c>
      <c r="D6" s="65">
        <v>0</v>
      </c>
      <c r="E6" s="65">
        <v>43.347999999999999</v>
      </c>
      <c r="F6" s="65">
        <v>0</v>
      </c>
      <c r="G6" s="65">
        <v>0</v>
      </c>
      <c r="H6" s="65"/>
      <c r="I6" s="65">
        <v>0.73</v>
      </c>
      <c r="J6" s="65"/>
      <c r="K6" s="65">
        <v>0.59</v>
      </c>
      <c r="L6" s="65"/>
      <c r="M6" s="65">
        <v>0.88</v>
      </c>
      <c r="N6" s="65"/>
      <c r="O6" s="65">
        <v>0.71</v>
      </c>
      <c r="P6" s="65"/>
      <c r="Q6" s="65">
        <v>32.47</v>
      </c>
      <c r="R6" s="65"/>
      <c r="S6" s="65"/>
      <c r="T6" s="65">
        <v>25.533000000000001</v>
      </c>
      <c r="U6" s="65"/>
      <c r="V6" s="65"/>
      <c r="W6" s="65">
        <v>7.8680000000000003</v>
      </c>
      <c r="X6" s="65"/>
      <c r="Y6" s="65"/>
      <c r="Z6" s="65">
        <v>5.8470000000000004</v>
      </c>
      <c r="AA6" s="65"/>
      <c r="AB6" s="65"/>
      <c r="AC6" s="65">
        <f t="shared" si="4"/>
        <v>0.17665416825703317</v>
      </c>
      <c r="AD6" s="65">
        <f t="shared" si="5"/>
        <v>0.13488511580695767</v>
      </c>
      <c r="AE6" s="65"/>
      <c r="AF6" s="65"/>
      <c r="AG6" s="53">
        <f t="shared" si="8"/>
        <v>0.90665416825703316</v>
      </c>
      <c r="AH6" s="53">
        <f t="shared" si="9"/>
        <v>0.72488511580695758</v>
      </c>
      <c r="AI6" s="55">
        <f>'31.12.2018'!AK6</f>
        <v>0.98668139026003765</v>
      </c>
      <c r="AJ6" s="55">
        <f>'31.12.2018'!AL6</f>
        <v>0.79637404798332179</v>
      </c>
      <c r="AK6" s="66">
        <f t="shared" si="0"/>
        <v>0.90567816969397608</v>
      </c>
      <c r="AL6" s="66">
        <f t="shared" si="1"/>
        <v>0.72390883085724844</v>
      </c>
      <c r="AM6" s="66"/>
      <c r="AN6" s="66"/>
    </row>
    <row r="7" spans="1:42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0">I7*1.2</f>
        <v>0.95910406086235145</v>
      </c>
      <c r="N7" s="55">
        <f t="shared" si="10"/>
        <v>0.96185727023546108</v>
      </c>
      <c r="O7" s="55">
        <f t="shared" si="10"/>
        <v>1.3192409751053764</v>
      </c>
      <c r="P7" s="55">
        <f t="shared" si="10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>'31.12.2018'!AK7</f>
        <v>1.109478025482878</v>
      </c>
      <c r="AJ7" s="55">
        <f>'31.12.2018'!AL7</f>
        <v>1.7021030826140564</v>
      </c>
      <c r="AK7" s="55">
        <f t="shared" si="0"/>
        <v>0.79925338405195956</v>
      </c>
      <c r="AL7" s="55">
        <f t="shared" si="1"/>
        <v>1.0993674792544803</v>
      </c>
      <c r="AM7" s="55">
        <f t="shared" si="2"/>
        <v>0.80154772519621764</v>
      </c>
      <c r="AN7" s="55">
        <f t="shared" si="3"/>
        <v>1.6965011825839753</v>
      </c>
    </row>
    <row r="8" spans="1:42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0"/>
        <v>0.95910406086235145</v>
      </c>
      <c r="N8" s="55">
        <f t="shared" si="10"/>
        <v>0.96185727023546108</v>
      </c>
      <c r="O8" s="55">
        <f t="shared" si="10"/>
        <v>1.3192409751053764</v>
      </c>
      <c r="P8" s="55">
        <f t="shared" si="10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1">W8/B8</f>
        <v>0</v>
      </c>
      <c r="AD8" s="53">
        <f t="shared" ref="AD8" si="12">Z8/E8</f>
        <v>0</v>
      </c>
      <c r="AE8" s="53">
        <f t="shared" ref="AE8" si="13">(X8+Y8)/(C8+D8)</f>
        <v>0</v>
      </c>
      <c r="AF8" s="53">
        <f t="shared" ref="AF8" si="14">(AA8+AB8)/(F8+G8)</f>
        <v>0</v>
      </c>
      <c r="AG8" s="53">
        <f t="shared" ref="AG8" si="15">I8+AC8</f>
        <v>0.79925338405195956</v>
      </c>
      <c r="AH8" s="53">
        <f t="shared" ref="AH8" si="16">K8+AD8</f>
        <v>1.0993674792544803</v>
      </c>
      <c r="AI8" s="55">
        <f>'31.12.2018'!AK8</f>
        <v>1.3542695485270799</v>
      </c>
      <c r="AJ8" s="55">
        <f>'31.12.2018'!AL8</f>
        <v>2.0696881220968812</v>
      </c>
      <c r="AK8" s="55">
        <f t="shared" ref="AK8" si="17">(Q8+W8)/B8</f>
        <v>0.79925338405195956</v>
      </c>
      <c r="AL8" s="55">
        <f t="shared" ref="AL8" si="18">(T8+Z8)/E8</f>
        <v>1.0993674792544803</v>
      </c>
      <c r="AM8" s="55">
        <f t="shared" ref="AM8" si="19">(R8+X8)/C8</f>
        <v>0.80154772519621764</v>
      </c>
      <c r="AN8" s="55">
        <f t="shared" ref="AN8" si="20">(U8+V8+AA8+AB8)/(F8+G8)</f>
        <v>1.6965011825839753</v>
      </c>
    </row>
    <row r="9" spans="1:42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>'31.12.2018'!AK9</f>
        <v>1.56</v>
      </c>
      <c r="AJ9" s="55">
        <f>'31.12.2018'!AL9</f>
        <v>2.34</v>
      </c>
      <c r="AK9" s="55">
        <f t="shared" si="0"/>
        <v>0.88003251834997398</v>
      </c>
      <c r="AL9" s="55">
        <f t="shared" si="1"/>
        <v>1.2995790594155217</v>
      </c>
      <c r="AM9" s="55">
        <f t="shared" si="2"/>
        <v>1.0519376194565246</v>
      </c>
      <c r="AN9" s="55">
        <f t="shared" si="3"/>
        <v>1.5630771489392941</v>
      </c>
    </row>
    <row r="10" spans="1:42" s="15" customFormat="1" x14ac:dyDescent="0.25">
      <c r="A10" s="61" t="s">
        <v>33</v>
      </c>
      <c r="B10" s="65">
        <v>12.874000000000001</v>
      </c>
      <c r="C10" s="65">
        <v>3.2320000000000002</v>
      </c>
      <c r="D10" s="65">
        <v>0</v>
      </c>
      <c r="E10" s="65">
        <v>12.874000000000001</v>
      </c>
      <c r="F10" s="65">
        <v>3.2320000000000002</v>
      </c>
      <c r="G10" s="65">
        <v>0</v>
      </c>
      <c r="H10" s="65">
        <v>44.454999999999998</v>
      </c>
      <c r="I10" s="65">
        <v>0.95</v>
      </c>
      <c r="J10" s="65">
        <v>0.95</v>
      </c>
      <c r="K10" s="65">
        <v>1.1299999999999999</v>
      </c>
      <c r="L10" s="65">
        <v>1.1299999999999999</v>
      </c>
      <c r="M10" s="65">
        <v>1.1399999999999999</v>
      </c>
      <c r="N10" s="65">
        <v>1.1399999999999999</v>
      </c>
      <c r="O10" s="65">
        <v>1.36</v>
      </c>
      <c r="P10" s="65">
        <v>1.36</v>
      </c>
      <c r="Q10" s="65">
        <v>9.3949999999999996</v>
      </c>
      <c r="R10" s="65">
        <v>2.911</v>
      </c>
      <c r="S10" s="65">
        <v>0</v>
      </c>
      <c r="T10" s="65">
        <v>15.593999999999999</v>
      </c>
      <c r="U10" s="65">
        <v>3.556</v>
      </c>
      <c r="V10" s="65">
        <v>9.2550000000000008</v>
      </c>
      <c r="W10" s="65"/>
      <c r="X10" s="65"/>
      <c r="Y10" s="65"/>
      <c r="Z10" s="65"/>
      <c r="AA10" s="65"/>
      <c r="AB10" s="65"/>
      <c r="AC10" s="65">
        <f t="shared" si="4"/>
        <v>0</v>
      </c>
      <c r="AD10" s="65">
        <f t="shared" si="5"/>
        <v>0</v>
      </c>
      <c r="AE10" s="65">
        <f t="shared" si="6"/>
        <v>0</v>
      </c>
      <c r="AF10" s="65">
        <f t="shared" si="7"/>
        <v>0</v>
      </c>
      <c r="AG10" s="53">
        <f t="shared" si="8"/>
        <v>0.95</v>
      </c>
      <c r="AH10" s="53">
        <f t="shared" si="9"/>
        <v>1.1299999999999999</v>
      </c>
      <c r="AI10" s="55">
        <f>'31.12.2018'!AK10</f>
        <v>1.1375999999999999</v>
      </c>
      <c r="AJ10" s="55">
        <f>'31.12.2018'!AL10</f>
        <v>1.3559999999999999</v>
      </c>
      <c r="AK10" s="66">
        <f t="shared" si="0"/>
        <v>0.72976541867329492</v>
      </c>
      <c r="AL10" s="66">
        <f t="shared" si="1"/>
        <v>1.2112785459064781</v>
      </c>
      <c r="AM10" s="66">
        <f t="shared" si="2"/>
        <v>0.90068069306930687</v>
      </c>
      <c r="AN10" s="66">
        <f t="shared" si="3"/>
        <v>3.9637995049504946</v>
      </c>
    </row>
    <row r="11" spans="1:42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1.0967769959169489E-2</v>
      </c>
      <c r="AD11" s="53">
        <f t="shared" si="5"/>
        <v>0</v>
      </c>
      <c r="AE11" s="53">
        <f t="shared" si="6"/>
        <v>0.10334020974245813</v>
      </c>
      <c r="AF11" s="53">
        <f t="shared" si="7"/>
        <v>0</v>
      </c>
      <c r="AG11" s="53">
        <f t="shared" si="8"/>
        <v>0.62096776995916947</v>
      </c>
      <c r="AH11" s="53">
        <f t="shared" si="9"/>
        <v>0.8</v>
      </c>
      <c r="AI11" s="55">
        <f>'31.12.2018'!AK11</f>
        <v>1.464</v>
      </c>
      <c r="AJ11" s="55">
        <f>'31.12.2018'!AL11</f>
        <v>0.86759999999999993</v>
      </c>
      <c r="AK11" s="55">
        <f t="shared" si="0"/>
        <v>0.61889388411085056</v>
      </c>
      <c r="AL11" s="55">
        <f t="shared" si="1"/>
        <v>0.79558602983379723</v>
      </c>
      <c r="AM11" s="55">
        <f t="shared" si="2"/>
        <v>0.81573140314685566</v>
      </c>
      <c r="AN11" s="55">
        <f t="shared" si="3"/>
        <v>0.84199271802577591</v>
      </c>
    </row>
    <row r="12" spans="1:42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3">
        <f t="shared" si="8"/>
        <v>0.98</v>
      </c>
      <c r="AH12" s="53">
        <f t="shared" si="9"/>
        <v>1.3</v>
      </c>
      <c r="AI12" s="55">
        <f>'31.12.2018'!AK12</f>
        <v>1.3176000000000001</v>
      </c>
      <c r="AJ12" s="55">
        <f>'31.12.2018'!AL12</f>
        <v>2.2080000000000002</v>
      </c>
      <c r="AK12" s="55">
        <f t="shared" si="0"/>
        <v>0.97989817704056492</v>
      </c>
      <c r="AL12" s="55">
        <f t="shared" si="1"/>
        <v>1.299988393108823</v>
      </c>
      <c r="AM12" s="55">
        <f t="shared" si="2"/>
        <v>0.98074142916150364</v>
      </c>
      <c r="AN12" s="55">
        <f t="shared" si="3"/>
        <v>1.7523994811932551</v>
      </c>
    </row>
    <row r="13" spans="1:42" s="15" customFormat="1" x14ac:dyDescent="0.25">
      <c r="A13" s="61" t="s">
        <v>36</v>
      </c>
      <c r="B13" s="65">
        <v>36.872999999999998</v>
      </c>
      <c r="C13" s="65">
        <v>11.788</v>
      </c>
      <c r="D13" s="65">
        <v>0</v>
      </c>
      <c r="E13" s="65">
        <v>36.313000000000002</v>
      </c>
      <c r="F13" s="65">
        <v>7.87</v>
      </c>
      <c r="G13" s="65">
        <v>0</v>
      </c>
      <c r="H13" s="65"/>
      <c r="I13" s="65">
        <v>0.8</v>
      </c>
      <c r="J13" s="65">
        <v>0.8</v>
      </c>
      <c r="K13" s="65">
        <v>1.6</v>
      </c>
      <c r="L13" s="65">
        <v>1.6</v>
      </c>
      <c r="M13" s="65">
        <v>0.96</v>
      </c>
      <c r="N13" s="65">
        <v>0.96</v>
      </c>
      <c r="O13" s="65">
        <v>1.92</v>
      </c>
      <c r="P13" s="65">
        <v>1.92</v>
      </c>
      <c r="Q13" s="65">
        <v>25.811</v>
      </c>
      <c r="R13" s="65">
        <v>8.2520000000000007</v>
      </c>
      <c r="S13" s="65">
        <v>0</v>
      </c>
      <c r="T13" s="65">
        <v>53.38</v>
      </c>
      <c r="U13" s="65">
        <v>11.569000000000001</v>
      </c>
      <c r="V13" s="65"/>
      <c r="W13" s="65"/>
      <c r="X13" s="65"/>
      <c r="Y13" s="65"/>
      <c r="Z13" s="65"/>
      <c r="AA13" s="65"/>
      <c r="AB13" s="65"/>
      <c r="AC13" s="65">
        <f t="shared" si="4"/>
        <v>0</v>
      </c>
      <c r="AD13" s="65">
        <f t="shared" si="5"/>
        <v>0</v>
      </c>
      <c r="AE13" s="65">
        <f t="shared" si="6"/>
        <v>0</v>
      </c>
      <c r="AF13" s="65">
        <f t="shared" si="7"/>
        <v>0</v>
      </c>
      <c r="AG13" s="53">
        <f t="shared" si="8"/>
        <v>0.8</v>
      </c>
      <c r="AH13" s="53">
        <f t="shared" si="9"/>
        <v>1.6</v>
      </c>
      <c r="AI13" s="55">
        <f>'31.12.2018'!AK13</f>
        <v>1.0680000000000001</v>
      </c>
      <c r="AJ13" s="55">
        <f>'31.12.2018'!AL13</f>
        <v>2.3879999999999999</v>
      </c>
      <c r="AK13" s="66">
        <f t="shared" si="0"/>
        <v>0.69999728798850114</v>
      </c>
      <c r="AL13" s="66">
        <f t="shared" si="1"/>
        <v>1.4699969707818137</v>
      </c>
      <c r="AM13" s="66">
        <f t="shared" si="2"/>
        <v>0.70003393281303028</v>
      </c>
      <c r="AN13" s="66">
        <f t="shared" si="3"/>
        <v>1.470012706480305</v>
      </c>
    </row>
    <row r="14" spans="1:42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4"/>
        <v>0</v>
      </c>
      <c r="AD14" s="53">
        <f t="shared" si="5"/>
        <v>0</v>
      </c>
      <c r="AE14" s="53">
        <f t="shared" si="6"/>
        <v>0</v>
      </c>
      <c r="AF14" s="53">
        <f t="shared" si="7"/>
        <v>0</v>
      </c>
      <c r="AG14" s="53">
        <f t="shared" si="8"/>
        <v>1.1499999999999999</v>
      </c>
      <c r="AH14" s="53">
        <f t="shared" si="9"/>
        <v>1.3</v>
      </c>
      <c r="AI14" s="55">
        <f>'31.12.2018'!AK14</f>
        <v>1.6320000000000001</v>
      </c>
      <c r="AJ14" s="55">
        <f>'31.12.2018'!AL14</f>
        <v>1.8779999999999999</v>
      </c>
      <c r="AK14" s="55">
        <f t="shared" si="0"/>
        <v>1.1520338946782789</v>
      </c>
      <c r="AL14" s="55">
        <f t="shared" si="1"/>
        <v>1.3016703656114941</v>
      </c>
      <c r="AM14" s="55">
        <f t="shared" si="2"/>
        <v>1.2099607267705321</v>
      </c>
      <c r="AN14" s="55">
        <f t="shared" si="3"/>
        <v>1.3286790266512165</v>
      </c>
    </row>
    <row r="15" spans="1:42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5">
        <f>'31.12.2018'!AK15</f>
        <v>1.758</v>
      </c>
      <c r="AJ15" s="55">
        <f>'31.12.2018'!AL15</f>
        <v>2.52</v>
      </c>
      <c r="AK15" s="55"/>
      <c r="AL15" s="55"/>
      <c r="AM15" s="55"/>
      <c r="AN15" s="55"/>
    </row>
    <row r="16" spans="1:42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4"/>
        <v>0.11849604637715984</v>
      </c>
      <c r="AD16" s="53">
        <f t="shared" si="5"/>
        <v>0.11882713454940048</v>
      </c>
      <c r="AE16" s="53">
        <f t="shared" si="6"/>
        <v>7.8722718617255022E-2</v>
      </c>
      <c r="AF16" s="53">
        <f t="shared" si="7"/>
        <v>6.5533099571828804E-2</v>
      </c>
      <c r="AG16" s="53">
        <f t="shared" si="8"/>
        <v>0.99849604637715983</v>
      </c>
      <c r="AH16" s="53">
        <f t="shared" si="9"/>
        <v>1.0288271345494004</v>
      </c>
      <c r="AI16" s="55">
        <f>'31.12.2018'!AK16</f>
        <v>1.3440000000000001</v>
      </c>
      <c r="AJ16" s="55">
        <f>'31.12.2018'!AL16</f>
        <v>1.6440000000000001</v>
      </c>
      <c r="AK16" s="55">
        <f t="shared" si="0"/>
        <v>0.99849814896860367</v>
      </c>
      <c r="AL16" s="55">
        <f t="shared" si="1"/>
        <v>1.0288065780725819</v>
      </c>
      <c r="AM16" s="55">
        <f t="shared" si="2"/>
        <v>0.95872857770616671</v>
      </c>
      <c r="AN16" s="55">
        <f t="shared" si="3"/>
        <v>0.97554666713653904</v>
      </c>
    </row>
    <row r="17" spans="1:40" s="15" customFormat="1" x14ac:dyDescent="0.25">
      <c r="A17" s="61" t="s">
        <v>40</v>
      </c>
      <c r="B17" s="65">
        <v>48.48</v>
      </c>
      <c r="C17" s="65">
        <v>6.8789999999999996</v>
      </c>
      <c r="D17" s="65">
        <v>7.4999999999999997E-2</v>
      </c>
      <c r="E17" s="65">
        <v>46.804000000000002</v>
      </c>
      <c r="F17" s="65">
        <v>4.7789999999999999</v>
      </c>
      <c r="G17" s="65"/>
      <c r="H17" s="65"/>
      <c r="I17" s="65">
        <v>1.1399999999999999</v>
      </c>
      <c r="J17" s="65">
        <v>1.68</v>
      </c>
      <c r="K17" s="65">
        <v>1.68</v>
      </c>
      <c r="L17" s="65">
        <v>2.71</v>
      </c>
      <c r="M17" s="65">
        <v>1.3680000000000001</v>
      </c>
      <c r="N17" s="65">
        <v>2.016</v>
      </c>
      <c r="O17" s="65">
        <v>2.016</v>
      </c>
      <c r="P17" s="65">
        <v>3.2519999999999998</v>
      </c>
      <c r="Q17" s="65">
        <v>55.267000000000003</v>
      </c>
      <c r="R17" s="65">
        <v>11.557</v>
      </c>
      <c r="S17" s="65">
        <v>0.126</v>
      </c>
      <c r="T17" s="65">
        <v>78.631</v>
      </c>
      <c r="U17" s="65">
        <v>12.951000000000001</v>
      </c>
      <c r="V17" s="65">
        <v>0</v>
      </c>
      <c r="W17" s="65">
        <v>7.694</v>
      </c>
      <c r="X17" s="65">
        <v>0.33</v>
      </c>
      <c r="Y17" s="65">
        <v>1.9E-2</v>
      </c>
      <c r="Z17" s="65">
        <v>0</v>
      </c>
      <c r="AA17" s="65">
        <v>0</v>
      </c>
      <c r="AB17" s="65">
        <v>0</v>
      </c>
      <c r="AC17" s="65">
        <f t="shared" si="4"/>
        <v>0.15870462046204623</v>
      </c>
      <c r="AD17" s="65">
        <f t="shared" si="5"/>
        <v>0</v>
      </c>
      <c r="AE17" s="65">
        <f t="shared" si="6"/>
        <v>5.0186942766752951E-2</v>
      </c>
      <c r="AF17" s="65">
        <f t="shared" si="7"/>
        <v>0</v>
      </c>
      <c r="AG17" s="53">
        <f t="shared" si="8"/>
        <v>1.298704620462046</v>
      </c>
      <c r="AH17" s="53">
        <f t="shared" si="9"/>
        <v>1.68</v>
      </c>
      <c r="AI17" s="55">
        <f>'31.12.2018'!AK17</f>
        <v>1.7621367154714167</v>
      </c>
      <c r="AJ17" s="55">
        <f>'31.12.2018'!AL17</f>
        <v>2.1720000000000002</v>
      </c>
      <c r="AK17" s="66">
        <f t="shared" si="0"/>
        <v>1.2987004950495051</v>
      </c>
      <c r="AL17" s="66">
        <f t="shared" si="1"/>
        <v>1.6800059823946671</v>
      </c>
      <c r="AM17" s="66">
        <f t="shared" si="2"/>
        <v>1.7280127925570579</v>
      </c>
      <c r="AN17" s="66">
        <f t="shared" si="3"/>
        <v>2.7099811676082863</v>
      </c>
    </row>
    <row r="18" spans="1:40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 s="53">
        <f t="shared" si="4"/>
        <v>6.9620980531868437E-2</v>
      </c>
      <c r="AD18" s="53">
        <f t="shared" si="5"/>
        <v>3.5452454816255349E-2</v>
      </c>
      <c r="AE18" s="53">
        <f t="shared" si="6"/>
        <v>6.6647452986526398E-2</v>
      </c>
      <c r="AF18" s="53">
        <f t="shared" si="7"/>
        <v>0</v>
      </c>
      <c r="AG18" s="53">
        <f t="shared" si="8"/>
        <v>1.0996209805318684</v>
      </c>
      <c r="AH18" s="53">
        <f t="shared" si="9"/>
        <v>1.0654524548162554</v>
      </c>
      <c r="AI18" s="55">
        <f>'31.12.2018'!AK18</f>
        <v>1.32</v>
      </c>
      <c r="AJ18" s="55">
        <f>'31.12.2018'!AL18</f>
        <v>2.5079999999999996</v>
      </c>
      <c r="AK18" s="55">
        <f t="shared" si="0"/>
        <v>0.51169926678465538</v>
      </c>
      <c r="AL18" s="55">
        <f t="shared" si="1"/>
        <v>1.0327977651216991</v>
      </c>
      <c r="AM18" s="55">
        <f t="shared" si="2"/>
        <v>0.87509244802366659</v>
      </c>
      <c r="AN18" s="55">
        <f t="shared" si="3"/>
        <v>0.79187448988845555</v>
      </c>
    </row>
    <row r="19" spans="1:40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4"/>
        <v>0</v>
      </c>
      <c r="AD19" s="53">
        <f t="shared" si="5"/>
        <v>0</v>
      </c>
      <c r="AE19" s="53">
        <f t="shared" si="6"/>
        <v>0</v>
      </c>
      <c r="AF19" s="53">
        <f t="shared" si="7"/>
        <v>0</v>
      </c>
      <c r="AG19" s="53">
        <f t="shared" si="8"/>
        <v>0.88</v>
      </c>
      <c r="AH19" s="53">
        <f t="shared" si="9"/>
        <v>1.64</v>
      </c>
      <c r="AI19" s="55">
        <f>'31.12.2018'!AK19</f>
        <v>1.56</v>
      </c>
      <c r="AJ19" s="55">
        <f>'31.12.2018'!AL19</f>
        <v>2.8079999999999998</v>
      </c>
      <c r="AK19" s="55">
        <f t="shared" si="0"/>
        <v>0.87942701671976364</v>
      </c>
      <c r="AL19" s="55">
        <f t="shared" si="1"/>
        <v>1.639238711141366</v>
      </c>
      <c r="AM19" s="55">
        <f t="shared" si="2"/>
        <v>1.0438565051643804</v>
      </c>
      <c r="AN19" s="55">
        <f t="shared" si="3"/>
        <v>1.8885325850953669</v>
      </c>
    </row>
    <row r="20" spans="1:40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>
        <f t="shared" si="8"/>
        <v>0</v>
      </c>
      <c r="AH20" s="53">
        <f t="shared" si="9"/>
        <v>0</v>
      </c>
      <c r="AI20" s="55">
        <f>'31.12.2018'!AK20</f>
        <v>1.0834620633379759</v>
      </c>
      <c r="AJ20" s="55">
        <f>'31.12.2018'!AL20</f>
        <v>2.0482789416359326</v>
      </c>
      <c r="AK20" s="55"/>
      <c r="AL20" s="55"/>
      <c r="AM20" s="55"/>
      <c r="AN20" s="55"/>
    </row>
    <row r="21" spans="1:40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4"/>
        <v>5.9174293350611491E-3</v>
      </c>
      <c r="AD21" s="53">
        <f t="shared" si="5"/>
        <v>5.889227873654812E-3</v>
      </c>
      <c r="AE21" s="53">
        <f t="shared" si="6"/>
        <v>1.4628205774898577E-3</v>
      </c>
      <c r="AF21" s="53">
        <f t="shared" si="7"/>
        <v>9.4609936746499425E-4</v>
      </c>
      <c r="AG21" s="53">
        <f t="shared" si="8"/>
        <v>0.88369138252207013</v>
      </c>
      <c r="AH21" s="53">
        <f t="shared" si="9"/>
        <v>1.6710127549342522</v>
      </c>
      <c r="AI21" s="55">
        <f>'31.12.2018'!AK21</f>
        <v>1.476</v>
      </c>
      <c r="AJ21" s="55">
        <f>'31.12.2018'!AL21</f>
        <v>2.34</v>
      </c>
      <c r="AK21" s="55">
        <f t="shared" si="0"/>
        <v>0.88369138252207025</v>
      </c>
      <c r="AL21" s="55">
        <f t="shared" si="1"/>
        <v>1.6710127549342522</v>
      </c>
      <c r="AM21" s="55">
        <f t="shared" si="2"/>
        <v>0.94171776930670958</v>
      </c>
      <c r="AN21" s="55">
        <f t="shared" si="3"/>
        <v>2.1638049413418394</v>
      </c>
    </row>
    <row r="22" spans="1:40" s="15" customFormat="1" x14ac:dyDescent="0.25">
      <c r="A22" s="61" t="s">
        <v>45</v>
      </c>
      <c r="B22" s="65">
        <v>27.053999999999998</v>
      </c>
      <c r="C22" s="65">
        <v>8.9260000000000002</v>
      </c>
      <c r="D22" s="65">
        <v>0</v>
      </c>
      <c r="E22" s="65">
        <v>24.202999999999999</v>
      </c>
      <c r="F22" s="65">
        <v>3.0680000000000001</v>
      </c>
      <c r="G22" s="65">
        <v>0</v>
      </c>
      <c r="H22" s="65"/>
      <c r="I22" s="65">
        <v>0.8</v>
      </c>
      <c r="J22" s="65">
        <v>0.8</v>
      </c>
      <c r="K22" s="65">
        <v>1.1399999999999999</v>
      </c>
      <c r="L22" s="65">
        <v>1.1399999999999999</v>
      </c>
      <c r="M22" s="65">
        <v>0.96</v>
      </c>
      <c r="N22" s="65">
        <v>0.96</v>
      </c>
      <c r="O22" s="65">
        <v>1.37</v>
      </c>
      <c r="P22" s="65">
        <v>1.37</v>
      </c>
      <c r="Q22" s="65">
        <v>20.622</v>
      </c>
      <c r="R22" s="65">
        <v>8.1769999999999996</v>
      </c>
      <c r="S22" s="65">
        <v>0</v>
      </c>
      <c r="T22" s="65">
        <v>26.148</v>
      </c>
      <c r="U22" s="65">
        <v>4.976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f t="shared" si="4"/>
        <v>0</v>
      </c>
      <c r="AD22" s="65">
        <f t="shared" si="5"/>
        <v>0</v>
      </c>
      <c r="AE22" s="65">
        <f t="shared" si="6"/>
        <v>0</v>
      </c>
      <c r="AF22" s="65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>'31.12.2018'!AK22</f>
        <v>1.5960000000000001</v>
      </c>
      <c r="AJ22" s="55">
        <f>'31.12.2018'!AL22</f>
        <v>2.004</v>
      </c>
      <c r="AK22" s="66">
        <f t="shared" si="0"/>
        <v>0.76225327123530717</v>
      </c>
      <c r="AL22" s="66">
        <f t="shared" si="1"/>
        <v>1.0803619386026526</v>
      </c>
      <c r="AM22" s="66">
        <f t="shared" si="2"/>
        <v>0.9160878332959892</v>
      </c>
      <c r="AN22" s="66">
        <f t="shared" si="3"/>
        <v>1.621903520208605</v>
      </c>
    </row>
    <row r="23" spans="1:40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>'31.12.2018'!AK23</f>
        <v>1.1435999999999999</v>
      </c>
      <c r="AJ23" s="55">
        <f>'31.12.2018'!AL23</f>
        <v>3.0060665493426399</v>
      </c>
      <c r="AK23" s="55">
        <f t="shared" si="0"/>
        <v>1.0845812438757276</v>
      </c>
      <c r="AL23" s="55">
        <f t="shared" si="1"/>
        <v>1.373533830622842</v>
      </c>
      <c r="AM23" s="55">
        <f t="shared" si="2"/>
        <v>1.080019864260884</v>
      </c>
      <c r="AN23" s="55">
        <f t="shared" si="3"/>
        <v>1.3716961563845502</v>
      </c>
    </row>
    <row r="24" spans="1:40" s="15" customFormat="1" x14ac:dyDescent="0.25">
      <c r="A24" s="61" t="s">
        <v>47</v>
      </c>
      <c r="B24" s="65">
        <v>65.808000000000007</v>
      </c>
      <c r="C24" s="65">
        <v>30.744</v>
      </c>
      <c r="D24" s="65">
        <v>0</v>
      </c>
      <c r="E24" s="65">
        <v>62.63</v>
      </c>
      <c r="F24" s="65">
        <v>20.655000000000001</v>
      </c>
      <c r="G24" s="65"/>
      <c r="H24" s="65"/>
      <c r="I24" s="65">
        <v>0.89</v>
      </c>
      <c r="J24" s="65">
        <v>1.28</v>
      </c>
      <c r="K24" s="65">
        <v>0.89</v>
      </c>
      <c r="L24" s="65">
        <v>1.28</v>
      </c>
      <c r="M24" s="65">
        <v>1.0680000000000001</v>
      </c>
      <c r="N24" s="65">
        <v>1.536</v>
      </c>
      <c r="O24" s="65">
        <v>1.0680000000000001</v>
      </c>
      <c r="P24" s="65">
        <v>1.536</v>
      </c>
      <c r="Q24" s="65">
        <v>58.569000000000003</v>
      </c>
      <c r="R24" s="65">
        <v>39.351999999999997</v>
      </c>
      <c r="S24" s="65">
        <v>0</v>
      </c>
      <c r="T24" s="65">
        <v>56.006</v>
      </c>
      <c r="U24" s="65">
        <v>30.353000000000002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f t="shared" si="4"/>
        <v>0</v>
      </c>
      <c r="AD24" s="65">
        <f t="shared" si="5"/>
        <v>0</v>
      </c>
      <c r="AE24" s="65">
        <f t="shared" si="6"/>
        <v>0</v>
      </c>
      <c r="AF24" s="65">
        <f t="shared" si="7"/>
        <v>0</v>
      </c>
      <c r="AG24" s="53">
        <f t="shared" si="8"/>
        <v>0.89</v>
      </c>
      <c r="AH24" s="53">
        <f t="shared" si="9"/>
        <v>0.89</v>
      </c>
      <c r="AI24" s="55">
        <f>'31.12.2018'!AK24</f>
        <v>1.05</v>
      </c>
      <c r="AJ24" s="55">
        <f>'31.12.2018'!AL24</f>
        <v>1.65</v>
      </c>
      <c r="AK24" s="66">
        <f t="shared" si="0"/>
        <v>0.88999817651349378</v>
      </c>
      <c r="AL24" s="66">
        <f t="shared" si="1"/>
        <v>0.8942359891425834</v>
      </c>
      <c r="AM24" s="66">
        <f t="shared" si="2"/>
        <v>1.2799895914650012</v>
      </c>
      <c r="AN24" s="66">
        <f t="shared" si="3"/>
        <v>1.469523117889131</v>
      </c>
    </row>
    <row r="25" spans="1:40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>'31.12.2018'!AK25</f>
        <v>1.716</v>
      </c>
      <c r="AJ25" s="55">
        <f>'31.12.2018'!AL25</f>
        <v>1.7999999999999998</v>
      </c>
      <c r="AK25" s="55">
        <f t="shared" si="0"/>
        <v>0.75615624673314896</v>
      </c>
      <c r="AL25" s="55">
        <f t="shared" si="1"/>
        <v>1.2315762399589876</v>
      </c>
      <c r="AM25" s="55">
        <f t="shared" si="2"/>
        <v>0.65771646125267458</v>
      </c>
      <c r="AN25" s="55">
        <f t="shared" si="3"/>
        <v>1.1102469659745284</v>
      </c>
    </row>
    <row r="26" spans="1:40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>'31.12.2018'!AK26</f>
        <v>0.88800000000000001</v>
      </c>
      <c r="AJ26" s="55">
        <f>'31.12.2018'!AL26</f>
        <v>1.788</v>
      </c>
      <c r="AK26" s="55">
        <f>(Q26+W26)/B26</f>
        <v>0.94997561885093085</v>
      </c>
      <c r="AL26" s="55">
        <f>(T26+Z26)/E26</f>
        <v>1.199990389697756</v>
      </c>
      <c r="AM26" s="55">
        <f>(R26+X26)/C26</f>
        <v>1.0500039249548629</v>
      </c>
      <c r="AN26" s="55">
        <f>(U26+V26+AA26+AB26)/(F26+G26)</f>
        <v>1.4598601909633748</v>
      </c>
    </row>
    <row r="27" spans="1:40" s="15" customFormat="1" x14ac:dyDescent="0.25">
      <c r="A27" s="64" t="s">
        <v>50</v>
      </c>
      <c r="B27" s="65">
        <v>86.088999999999999</v>
      </c>
      <c r="C27" s="65">
        <v>29.715</v>
      </c>
      <c r="D27" s="65">
        <v>1.278</v>
      </c>
      <c r="E27" s="65">
        <v>82.031999999999996</v>
      </c>
      <c r="F27" s="65">
        <v>161.767</v>
      </c>
      <c r="G27" s="65">
        <v>6.4000000000000001E-2</v>
      </c>
      <c r="H27" s="65"/>
      <c r="I27" s="65">
        <v>0.62</v>
      </c>
      <c r="J27" s="65">
        <v>0.9</v>
      </c>
      <c r="K27" s="65">
        <v>1.22</v>
      </c>
      <c r="L27" s="65">
        <v>1.38</v>
      </c>
      <c r="M27" s="65">
        <f>I27*1.2</f>
        <v>0.74399999999999999</v>
      </c>
      <c r="N27" s="65">
        <f>J27*1.2</f>
        <v>1.08</v>
      </c>
      <c r="O27" s="65">
        <f>K27*1.2</f>
        <v>1.464</v>
      </c>
      <c r="P27" s="65">
        <f>L27*1.2</f>
        <v>1.6559999999999999</v>
      </c>
      <c r="Q27" s="65">
        <v>53.636000000000003</v>
      </c>
      <c r="R27" s="65">
        <v>26.614999999999998</v>
      </c>
      <c r="S27" s="65">
        <v>1.1499999999999999</v>
      </c>
      <c r="T27" s="65">
        <v>100.179</v>
      </c>
      <c r="U27" s="65">
        <v>239.465</v>
      </c>
      <c r="V27" s="65">
        <v>8.7999999999999995E-2</v>
      </c>
      <c r="W27" s="65"/>
      <c r="X27" s="65"/>
      <c r="Y27" s="65"/>
      <c r="Z27" s="65"/>
      <c r="AA27" s="65"/>
      <c r="AB27" s="65"/>
      <c r="AC27" s="65">
        <f t="shared" si="4"/>
        <v>0</v>
      </c>
      <c r="AD27" s="65">
        <f t="shared" si="5"/>
        <v>0</v>
      </c>
      <c r="AE27" s="65">
        <f t="shared" si="6"/>
        <v>0</v>
      </c>
      <c r="AF27" s="65">
        <f t="shared" si="7"/>
        <v>0</v>
      </c>
      <c r="AG27" s="53">
        <f t="shared" si="8"/>
        <v>0.62</v>
      </c>
      <c r="AH27" s="53">
        <f t="shared" si="9"/>
        <v>1.22</v>
      </c>
      <c r="AI27" s="55">
        <f>'31.12.2018'!AK27</f>
        <v>1.44</v>
      </c>
      <c r="AJ27" s="55">
        <f>'31.12.2018'!AL27</f>
        <v>1.38</v>
      </c>
      <c r="AK27" s="66">
        <f t="shared" ref="AK27:AK43" si="21">(Q27+W27)/B27</f>
        <v>0.62302965535666577</v>
      </c>
      <c r="AL27" s="66">
        <f t="shared" ref="AL27:AL43" si="22">(T27+Z27)/E27</f>
        <v>1.221218548858982</v>
      </c>
      <c r="AM27" s="66">
        <f t="shared" ref="AM27:AM43" si="23">(R27+X27)/C27</f>
        <v>0.89567558472152109</v>
      </c>
      <c r="AN27" s="66">
        <f t="shared" ref="AN27:AN43" si="24">(U27+V27+AA27+AB27)/(F27+G27)</f>
        <v>1.4802664508036163</v>
      </c>
    </row>
    <row r="28" spans="1:40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>'31.12.2018'!AK28</f>
        <v>0.91199999999999992</v>
      </c>
      <c r="AJ28" s="55">
        <f>'31.12.2018'!AL28</f>
        <v>1.3679999999999999</v>
      </c>
      <c r="AK28" s="55">
        <f t="shared" si="21"/>
        <v>0.76399873769748139</v>
      </c>
      <c r="AL28" s="55">
        <f t="shared" si="22"/>
        <v>0.64499962748652739</v>
      </c>
      <c r="AM28" s="55">
        <f t="shared" si="23"/>
        <v>0.76400345399595515</v>
      </c>
      <c r="AN28" s="55">
        <f t="shared" si="24"/>
        <v>0.64499891706945289</v>
      </c>
    </row>
    <row r="29" spans="1:40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 t="e">
        <f>'31.12.2018'!AK29</f>
        <v>#DIV/0!</v>
      </c>
      <c r="AJ29" s="55" t="e">
        <f>'31.12.2018'!AL29</f>
        <v>#DIV/0!</v>
      </c>
      <c r="AK29" s="55"/>
      <c r="AL29" s="55"/>
      <c r="AM29" s="55"/>
      <c r="AN29" s="55"/>
    </row>
    <row r="30" spans="1:40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>
        <f>'31.12.2018'!AK30</f>
        <v>1.1519999999999999</v>
      </c>
      <c r="AJ30" s="55">
        <f>'31.12.2018'!AL30</f>
        <v>1.5484685138539043</v>
      </c>
      <c r="AK30" s="55"/>
      <c r="AL30" s="55"/>
      <c r="AM30" s="55"/>
      <c r="AN30" s="55"/>
    </row>
    <row r="31" spans="1:40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>'31.12.2018'!AK31</f>
        <v>1.5047999999999999</v>
      </c>
      <c r="AJ31" s="55">
        <f>'31.12.2018'!AL31</f>
        <v>1.5755999999999999</v>
      </c>
      <c r="AK31" s="55">
        <f t="shared" si="21"/>
        <v>0.72615968478812642</v>
      </c>
      <c r="AL31" s="55">
        <f t="shared" si="22"/>
        <v>0.91472088969194165</v>
      </c>
      <c r="AM31" s="55">
        <f t="shared" si="23"/>
        <v>0.71665866739007955</v>
      </c>
      <c r="AN31" s="55">
        <f t="shared" si="24"/>
        <v>0.93633352400462933</v>
      </c>
    </row>
    <row r="32" spans="1:40" s="15" customFormat="1" x14ac:dyDescent="0.25">
      <c r="A32" s="61" t="s">
        <v>55</v>
      </c>
      <c r="B32" s="65">
        <v>64.039000000000001</v>
      </c>
      <c r="C32" s="65">
        <v>43.48</v>
      </c>
      <c r="D32" s="65"/>
      <c r="E32" s="65">
        <v>50.304000000000002</v>
      </c>
      <c r="F32" s="65">
        <v>116.218</v>
      </c>
      <c r="G32" s="65"/>
      <c r="H32" s="65"/>
      <c r="I32" s="65">
        <v>1.1399999999999999</v>
      </c>
      <c r="J32" s="65">
        <v>1.29</v>
      </c>
      <c r="K32" s="65">
        <v>1.1399999999999999</v>
      </c>
      <c r="L32" s="65">
        <v>2</v>
      </c>
      <c r="M32" s="65">
        <v>1.3680000000000001</v>
      </c>
      <c r="N32" s="65">
        <v>1.548</v>
      </c>
      <c r="O32" s="65">
        <v>1.3680000000000001</v>
      </c>
      <c r="P32" s="65">
        <v>2.4</v>
      </c>
      <c r="Q32" s="65">
        <v>72.759</v>
      </c>
      <c r="R32" s="65">
        <v>56.183</v>
      </c>
      <c r="S32" s="65"/>
      <c r="T32" s="65">
        <v>57.56</v>
      </c>
      <c r="U32" s="65">
        <v>232.012</v>
      </c>
      <c r="V32" s="65"/>
      <c r="W32" s="65"/>
      <c r="X32" s="65"/>
      <c r="Y32" s="65"/>
      <c r="Z32" s="65"/>
      <c r="AA32" s="65"/>
      <c r="AB32" s="65"/>
      <c r="AC32" s="65">
        <v>0</v>
      </c>
      <c r="AD32" s="65">
        <v>0</v>
      </c>
      <c r="AE32" s="65">
        <v>0</v>
      </c>
      <c r="AF32" s="65">
        <v>0</v>
      </c>
      <c r="AG32" s="53">
        <f t="shared" si="8"/>
        <v>1.1399999999999999</v>
      </c>
      <c r="AH32" s="53">
        <f t="shared" si="9"/>
        <v>1.1399999999999999</v>
      </c>
      <c r="AI32" s="55">
        <f>'31.12.2018'!AK32</f>
        <v>1.1160000000000001</v>
      </c>
      <c r="AJ32" s="55">
        <f>'31.12.2018'!AL32</f>
        <v>0.99599999999999989</v>
      </c>
      <c r="AK32" s="66">
        <f t="shared" si="21"/>
        <v>1.1361670232202252</v>
      </c>
      <c r="AL32" s="66">
        <f t="shared" si="22"/>
        <v>1.1442430025445292</v>
      </c>
      <c r="AM32" s="66">
        <f t="shared" si="23"/>
        <v>1.2921573137074518</v>
      </c>
      <c r="AN32" s="66">
        <f t="shared" si="24"/>
        <v>1.9963516839043864</v>
      </c>
    </row>
    <row r="33" spans="1:40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>'31.12.2018'!AK33</f>
        <v>1.3440000000000001</v>
      </c>
      <c r="AJ33" s="55">
        <f>'31.12.2018'!AL33</f>
        <v>2.028</v>
      </c>
      <c r="AK33" s="55">
        <f t="shared" si="21"/>
        <v>0.76098776051466765</v>
      </c>
      <c r="AL33" s="55">
        <f t="shared" si="22"/>
        <v>0.58309961193879967</v>
      </c>
      <c r="AM33" s="55">
        <f t="shared" si="23"/>
        <v>0.89000139840581727</v>
      </c>
      <c r="AN33" s="55">
        <f t="shared" si="24"/>
        <v>0.85747002559612018</v>
      </c>
    </row>
    <row r="34" spans="1:40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>'31.12.2018'!AK34</f>
        <v>1.1399999999999999</v>
      </c>
      <c r="AJ34" s="55">
        <f>'31.12.2018'!AL34</f>
        <v>0.93599999999999994</v>
      </c>
      <c r="AK34" s="55">
        <f t="shared" si="21"/>
        <v>0.91588165515316444</v>
      </c>
      <c r="AL34" s="55">
        <f t="shared" si="22"/>
        <v>1.3636522205823158</v>
      </c>
      <c r="AM34" s="55">
        <f t="shared" si="23"/>
        <v>1.540762331838565</v>
      </c>
      <c r="AN34" s="55">
        <f t="shared" si="24"/>
        <v>2.2919541323690349</v>
      </c>
    </row>
    <row r="35" spans="1:40" s="15" customFormat="1" x14ac:dyDescent="0.25">
      <c r="A35" s="61" t="s">
        <v>58</v>
      </c>
      <c r="B35" s="65">
        <v>6860</v>
      </c>
      <c r="C35" s="65">
        <v>2735</v>
      </c>
      <c r="D35" s="65">
        <v>0</v>
      </c>
      <c r="E35" s="65">
        <v>6832</v>
      </c>
      <c r="F35" s="65">
        <v>5116</v>
      </c>
      <c r="G35" s="65">
        <v>0</v>
      </c>
      <c r="H35" s="65">
        <v>10903</v>
      </c>
      <c r="I35" s="65">
        <v>0.95</v>
      </c>
      <c r="J35" s="65">
        <v>2.3199999999999998</v>
      </c>
      <c r="K35" s="65">
        <v>0.78</v>
      </c>
      <c r="L35" s="65">
        <v>1.72</v>
      </c>
      <c r="M35" s="65">
        <v>1.1399999999999999</v>
      </c>
      <c r="N35" s="65">
        <v>2.78</v>
      </c>
      <c r="O35" s="65">
        <v>0.94</v>
      </c>
      <c r="P35" s="65">
        <v>2.06</v>
      </c>
      <c r="Q35" s="65">
        <v>6517</v>
      </c>
      <c r="R35" s="65">
        <v>5806</v>
      </c>
      <c r="S35" s="65">
        <v>0</v>
      </c>
      <c r="T35" s="65">
        <v>5329</v>
      </c>
      <c r="U35" s="65">
        <v>7493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f t="shared" si="4"/>
        <v>0</v>
      </c>
      <c r="AD35" s="65">
        <f t="shared" si="5"/>
        <v>0</v>
      </c>
      <c r="AE35" s="65">
        <f t="shared" si="6"/>
        <v>0</v>
      </c>
      <c r="AF35" s="65">
        <f t="shared" si="7"/>
        <v>0</v>
      </c>
      <c r="AG35" s="53">
        <f t="shared" si="8"/>
        <v>0.95</v>
      </c>
      <c r="AH35" s="53">
        <f t="shared" si="9"/>
        <v>0.78</v>
      </c>
      <c r="AI35" s="55">
        <f>'31.12.2018'!AK35</f>
        <v>1.08</v>
      </c>
      <c r="AJ35" s="55">
        <f>'31.12.2018'!AL35</f>
        <v>1.4159999999999999</v>
      </c>
      <c r="AK35" s="66">
        <f t="shared" si="21"/>
        <v>0.95</v>
      </c>
      <c r="AL35" s="66">
        <f t="shared" si="22"/>
        <v>0.78000585480093676</v>
      </c>
      <c r="AM35" s="66">
        <f t="shared" si="23"/>
        <v>2.122851919561243</v>
      </c>
      <c r="AN35" s="66">
        <f t="shared" si="24"/>
        <v>1.4646207974980454</v>
      </c>
    </row>
    <row r="36" spans="1:40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>'31.12.2018'!AK36</f>
        <v>0.73919999999999997</v>
      </c>
      <c r="AJ36" s="55">
        <f>'31.12.2018'!AL36</f>
        <v>1.296</v>
      </c>
      <c r="AK36" s="55">
        <f t="shared" si="21"/>
        <v>0.89198693402935159</v>
      </c>
      <c r="AL36" s="55">
        <f t="shared" si="22"/>
        <v>1.125046284051838</v>
      </c>
      <c r="AM36" s="55">
        <f t="shared" si="23"/>
        <v>1.0499937382592361</v>
      </c>
      <c r="AN36" s="55">
        <f t="shared" si="24"/>
        <v>1.3250159948816378</v>
      </c>
    </row>
    <row r="37" spans="1:40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>'31.12.2018'!AK37</f>
        <v>1.8975534030209318</v>
      </c>
      <c r="AJ37" s="55">
        <f>'31.12.2018'!AL37</f>
        <v>1.9834893707257595</v>
      </c>
      <c r="AK37" s="55">
        <f t="shared" si="21"/>
        <v>0.58041581642691309</v>
      </c>
      <c r="AL37" s="55">
        <f t="shared" si="22"/>
        <v>1.0000077174352295</v>
      </c>
      <c r="AM37" s="55">
        <f t="shared" si="23"/>
        <v>0.58043368497948133</v>
      </c>
      <c r="AN37" s="55">
        <f t="shared" si="24"/>
        <v>1.3255250168251249</v>
      </c>
    </row>
    <row r="38" spans="1:40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>'31.12.2018'!AK38</f>
        <v>1.3655999999999999</v>
      </c>
      <c r="AJ38" s="55">
        <f>'31.12.2018'!AL38</f>
        <v>1.6283999999999998</v>
      </c>
      <c r="AK38" s="55">
        <f t="shared" si="21"/>
        <v>0.79768577372009708</v>
      </c>
      <c r="AL38" s="55">
        <f t="shared" si="22"/>
        <v>0.90181023221093604</v>
      </c>
      <c r="AM38" s="55">
        <f t="shared" si="23"/>
        <v>0.95315272684254126</v>
      </c>
      <c r="AN38" s="55">
        <f t="shared" si="24"/>
        <v>1.0535346012832263</v>
      </c>
    </row>
    <row r="39" spans="1:40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>'31.12.2018'!AK39</f>
        <v>1.2167999999999999</v>
      </c>
      <c r="AJ39" s="55">
        <f>'31.12.2018'!AL39</f>
        <v>1.92</v>
      </c>
      <c r="AK39" s="55">
        <f t="shared" si="21"/>
        <v>1.0076549220165065</v>
      </c>
      <c r="AL39" s="55">
        <f t="shared" si="22"/>
        <v>1.1770239741039215</v>
      </c>
      <c r="AM39" s="55">
        <f t="shared" si="23"/>
        <v>1.0085282298863867</v>
      </c>
      <c r="AN39" s="55">
        <f t="shared" si="24"/>
        <v>1.1675336016402156</v>
      </c>
    </row>
    <row r="40" spans="1:40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5">W40/B40</f>
        <v>0</v>
      </c>
      <c r="AD40" s="53">
        <f t="shared" ref="AD40" si="26">Z40/E40</f>
        <v>0</v>
      </c>
      <c r="AE40" s="53">
        <f t="shared" ref="AE40" si="27">(X40+Y40)/(C40+D40)</f>
        <v>0</v>
      </c>
      <c r="AF40" s="53">
        <f t="shared" ref="AF40" si="28">(AA40+AB40)/(F40+G40)</f>
        <v>0</v>
      </c>
      <c r="AG40" s="53">
        <f t="shared" ref="AG40" si="29">I40+AC40</f>
        <v>0.77</v>
      </c>
      <c r="AH40" s="53">
        <f t="shared" ref="AH40" si="30">K40+AD40</f>
        <v>0.95</v>
      </c>
      <c r="AI40" s="55">
        <f>'31.12.2018'!AK40</f>
        <v>1.0548</v>
      </c>
      <c r="AJ40" s="55">
        <f>'31.12.2018'!AL40</f>
        <v>2.298</v>
      </c>
      <c r="AK40" s="55">
        <f t="shared" ref="AK40" si="31">(Q40+W40)/B40</f>
        <v>0.7730582524271844</v>
      </c>
      <c r="AL40" s="55">
        <f t="shared" ref="AL40" si="32">(T40+Z40)/E40</f>
        <v>0.9519913367825773</v>
      </c>
      <c r="AM40" s="55">
        <f t="shared" ref="AM40" si="33">(R40+X40)/C40</f>
        <v>0.77325056433408579</v>
      </c>
      <c r="AN40" s="55">
        <f t="shared" ref="AN40" si="34">(U40+V40+AA40+AB40)/(F40+G40)</f>
        <v>0.97857675111773468</v>
      </c>
    </row>
    <row r="41" spans="1:40" s="15" customFormat="1" x14ac:dyDescent="0.25">
      <c r="A41" s="61" t="s">
        <v>64</v>
      </c>
      <c r="B41" s="65">
        <v>274.10300000000001</v>
      </c>
      <c r="C41" s="65">
        <v>56.46</v>
      </c>
      <c r="D41" s="65">
        <v>0</v>
      </c>
      <c r="E41" s="65">
        <v>267.08100000000002</v>
      </c>
      <c r="F41" s="65">
        <v>65.215000000000003</v>
      </c>
      <c r="G41" s="65">
        <v>0</v>
      </c>
      <c r="H41" s="65"/>
      <c r="I41" s="65">
        <v>1.25</v>
      </c>
      <c r="J41" s="65">
        <v>1.47</v>
      </c>
      <c r="K41" s="65">
        <v>1.95</v>
      </c>
      <c r="L41" s="65">
        <v>2.2000000000000002</v>
      </c>
      <c r="M41" s="65">
        <v>1.5</v>
      </c>
      <c r="N41" s="65">
        <v>1.76</v>
      </c>
      <c r="O41" s="65">
        <v>2.34</v>
      </c>
      <c r="P41" s="65">
        <v>2.64</v>
      </c>
      <c r="Q41" s="65">
        <v>343.35399999999998</v>
      </c>
      <c r="R41" s="65">
        <v>92.013000000000005</v>
      </c>
      <c r="S41" s="65">
        <v>0</v>
      </c>
      <c r="T41" s="65">
        <v>495.00299999999999</v>
      </c>
      <c r="U41" s="65">
        <v>120.42400000000001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f t="shared" si="4"/>
        <v>0</v>
      </c>
      <c r="AD41" s="65">
        <f t="shared" si="5"/>
        <v>0</v>
      </c>
      <c r="AE41" s="65">
        <f t="shared" si="6"/>
        <v>0</v>
      </c>
      <c r="AF41" s="65">
        <f t="shared" si="7"/>
        <v>0</v>
      </c>
      <c r="AG41" s="53">
        <f t="shared" si="8"/>
        <v>1.25</v>
      </c>
      <c r="AH41" s="53">
        <f t="shared" si="9"/>
        <v>1.95</v>
      </c>
      <c r="AI41" s="55">
        <f>'31.12.2018'!AK41</f>
        <v>1.5</v>
      </c>
      <c r="AJ41" s="55">
        <f>'31.12.2018'!AL41</f>
        <v>2.34</v>
      </c>
      <c r="AK41" s="66">
        <f t="shared" si="21"/>
        <v>1.2526459031823802</v>
      </c>
      <c r="AL41" s="66">
        <f t="shared" si="22"/>
        <v>1.8533815584036302</v>
      </c>
      <c r="AM41" s="66">
        <f t="shared" si="23"/>
        <v>1.629702444208289</v>
      </c>
      <c r="AN41" s="66">
        <f t="shared" si="24"/>
        <v>1.8465690408648316</v>
      </c>
    </row>
    <row r="42" spans="1:40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>W42/B42</f>
        <v>0</v>
      </c>
      <c r="AD42" s="53">
        <f>Z42/E42</f>
        <v>0</v>
      </c>
      <c r="AE42" s="53">
        <f>(X42+Y42)/(C42+D42)</f>
        <v>0</v>
      </c>
      <c r="AF42" s="53">
        <f>(AA42+AB42)/(F42+G42)</f>
        <v>0</v>
      </c>
      <c r="AG42" s="53">
        <f>I42+AC42</f>
        <v>0.77</v>
      </c>
      <c r="AH42" s="53">
        <f>K42+AD42</f>
        <v>0.99</v>
      </c>
      <c r="AI42" s="55">
        <f>'31.12.2018'!AK42</f>
        <v>0.92399999999999993</v>
      </c>
      <c r="AJ42" s="55">
        <f>'31.12.2018'!AL42</f>
        <v>1.296</v>
      </c>
      <c r="AK42" s="55">
        <f>(Q42+W42)/B42</f>
        <v>0.75755637294098832</v>
      </c>
      <c r="AL42" s="55">
        <f>(T42+Z42)/E42</f>
        <v>0.97603269856618735</v>
      </c>
      <c r="AM42" s="55">
        <f>(R42+X42)/C42</f>
        <v>0.76044728434504794</v>
      </c>
      <c r="AN42" s="55">
        <f>(U42+V42+AA42+AB42)/(F42+G42)</f>
        <v>1.2926315444776151</v>
      </c>
    </row>
    <row r="43" spans="1:40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si="4"/>
        <v>0</v>
      </c>
      <c r="AD43" s="53">
        <f t="shared" si="5"/>
        <v>0</v>
      </c>
      <c r="AE43" s="53">
        <f t="shared" si="6"/>
        <v>0</v>
      </c>
      <c r="AF43" s="53">
        <f t="shared" si="7"/>
        <v>0</v>
      </c>
      <c r="AG43" s="53">
        <f t="shared" si="8"/>
        <v>0.77</v>
      </c>
      <c r="AH43" s="53">
        <f t="shared" si="9"/>
        <v>0.99</v>
      </c>
      <c r="AI43" s="55">
        <f>'31.12.2018'!AK43</f>
        <v>1.2</v>
      </c>
      <c r="AJ43" s="55">
        <f>'31.12.2018'!AL43</f>
        <v>1.7999999999999998</v>
      </c>
      <c r="AK43" s="55">
        <f t="shared" si="21"/>
        <v>0.75755637294098832</v>
      </c>
      <c r="AL43" s="55">
        <f t="shared" si="22"/>
        <v>0.97603269856618735</v>
      </c>
      <c r="AM43" s="55">
        <f t="shared" si="23"/>
        <v>0.76044728434504794</v>
      </c>
      <c r="AN43" s="55">
        <f t="shared" si="24"/>
        <v>1.2926315444776151</v>
      </c>
    </row>
    <row r="44" spans="1:40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5">W44/B44</f>
        <v>0</v>
      </c>
      <c r="AD44" s="53">
        <f t="shared" ref="AD44" si="36">Z44/E44</f>
        <v>0</v>
      </c>
      <c r="AE44" s="53">
        <f t="shared" ref="AE44" si="37">(X44+Y44)/(C44+D44)</f>
        <v>0</v>
      </c>
      <c r="AF44" s="53">
        <f t="shared" ref="AF44" si="38">(AA44+AB44)/(F44+G44)</f>
        <v>0</v>
      </c>
      <c r="AG44" s="53">
        <f t="shared" ref="AG44" si="39">I44+AC44</f>
        <v>0.77</v>
      </c>
      <c r="AH44" s="53">
        <f t="shared" ref="AH44" si="40">K44+AD44</f>
        <v>0.99</v>
      </c>
      <c r="AI44" s="55">
        <f>'31.12.2018'!AK44</f>
        <v>1.1759999999999999</v>
      </c>
      <c r="AJ44" s="55">
        <f>'31.12.2018'!AL44</f>
        <v>1.8479999999999999</v>
      </c>
      <c r="AK44" s="55">
        <f t="shared" ref="AK44" si="41">(Q44+W44)/B44</f>
        <v>0.75755637294098832</v>
      </c>
      <c r="AL44" s="55">
        <f t="shared" ref="AL44" si="42">(T44+Z44)/E44</f>
        <v>0.97603269856618735</v>
      </c>
      <c r="AM44" s="55">
        <f t="shared" ref="AM44" si="43">(R44+X44)/C44</f>
        <v>0.76044728434504794</v>
      </c>
      <c r="AN44" s="55">
        <f t="shared" ref="AN44" si="44">(U44+V44+AA44+AB44)/(F44+G44)</f>
        <v>1.2926315444776151</v>
      </c>
    </row>
    <row r="45" spans="1:40" x14ac:dyDescent="0.25">
      <c r="AI45" s="6"/>
      <c r="AJ45" s="6"/>
    </row>
    <row r="46" spans="1:40" x14ac:dyDescent="0.25">
      <c r="A46" s="4" t="s">
        <v>68</v>
      </c>
    </row>
    <row r="47" spans="1:40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7"/>
  <sheetViews>
    <sheetView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AK45" sqref="AK45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47" t="s">
        <v>73</v>
      </c>
    </row>
    <row r="3" spans="1:37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4" t="s">
        <v>25</v>
      </c>
      <c r="AH3" s="14" t="s">
        <v>26</v>
      </c>
      <c r="AI3" s="14" t="s">
        <v>25</v>
      </c>
      <c r="AJ3" s="14" t="s">
        <v>26</v>
      </c>
      <c r="AK3" s="47" t="s">
        <v>19</v>
      </c>
    </row>
    <row r="4" spans="1:37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 t="shared" ref="AG4:AG25" si="0">(Q4+W4)/B4</f>
        <v>1.3378944945866438</v>
      </c>
      <c r="AH4" s="55">
        <f t="shared" ref="AH4:AH25" si="1">(T4+Z4)/E4</f>
        <v>2.1815022088343299</v>
      </c>
      <c r="AI4" s="55">
        <f t="shared" ref="AI4:AI25" si="2">(R4+X4)/C4</f>
        <v>2.0532136351808479</v>
      </c>
      <c r="AJ4" s="55">
        <f t="shared" ref="AJ4:AJ25" si="3">(U4+V4+AA4+AB4)/(F4+G4)</f>
        <v>3.0793226931744515</v>
      </c>
      <c r="AK4" s="55">
        <f>'31.12.2018'!O4+'31.12.2018'!Q4</f>
        <v>3.4809999999999999</v>
      </c>
    </row>
    <row r="5" spans="1:37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5">
        <f t="shared" si="0"/>
        <v>0.83448706250065552</v>
      </c>
      <c r="AH5" s="55">
        <f t="shared" si="1"/>
        <v>1.0513394445204542</v>
      </c>
      <c r="AI5" s="55">
        <f t="shared" si="2"/>
        <v>0.77812921961415382</v>
      </c>
      <c r="AJ5" s="55">
        <f t="shared" si="3"/>
        <v>1.2934140769794407</v>
      </c>
      <c r="AK5" s="55">
        <f>'31.12.2018'!O5+'31.12.2018'!Q5</f>
        <v>3.2680968957300842</v>
      </c>
    </row>
    <row r="6" spans="1:37" x14ac:dyDescent="0.25">
      <c r="A6" s="61" t="s">
        <v>29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4"/>
        <v>0.17665416825703317</v>
      </c>
      <c r="AD6" s="53">
        <f t="shared" si="5"/>
        <v>0.13488511580695767</v>
      </c>
      <c r="AE6" s="53"/>
      <c r="AF6" s="53"/>
      <c r="AG6" s="55">
        <f t="shared" si="0"/>
        <v>0.90567816969397608</v>
      </c>
      <c r="AH6" s="55">
        <f t="shared" si="1"/>
        <v>0.72390883085724844</v>
      </c>
      <c r="AI6" s="55"/>
      <c r="AJ6" s="55"/>
      <c r="AK6" s="55">
        <f>'31.12.2018'!O6+'31.12.2018'!Q6</f>
        <v>1.494</v>
      </c>
    </row>
    <row r="7" spans="1:37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8">I7*1.2</f>
        <v>0.95910406086235145</v>
      </c>
      <c r="N7" s="55">
        <f t="shared" si="8"/>
        <v>0.96185727023546108</v>
      </c>
      <c r="O7" s="55">
        <f t="shared" si="8"/>
        <v>1.3192409751053764</v>
      </c>
      <c r="P7" s="55">
        <f t="shared" si="8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5">
        <f t="shared" si="0"/>
        <v>0.79925338405195956</v>
      </c>
      <c r="AH7" s="55">
        <f t="shared" si="1"/>
        <v>1.0993674792544803</v>
      </c>
      <c r="AI7" s="55">
        <f t="shared" si="2"/>
        <v>0.80154772519621764</v>
      </c>
      <c r="AJ7" s="55">
        <f t="shared" si="3"/>
        <v>1.6965011825839753</v>
      </c>
      <c r="AK7" s="55">
        <f>'31.12.2018'!O7+'31.12.2018'!Q7</f>
        <v>2.8115811080969344</v>
      </c>
    </row>
    <row r="8" spans="1:37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8"/>
        <v>0.95910406086235145</v>
      </c>
      <c r="N8" s="55">
        <f t="shared" si="8"/>
        <v>0.96185727023546108</v>
      </c>
      <c r="O8" s="55">
        <f t="shared" si="8"/>
        <v>1.3192409751053764</v>
      </c>
      <c r="P8" s="55">
        <f t="shared" si="8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9">W8/B8</f>
        <v>0</v>
      </c>
      <c r="AD8" s="53">
        <f t="shared" ref="AD8" si="10">Z8/E8</f>
        <v>0</v>
      </c>
      <c r="AE8" s="53">
        <f t="shared" ref="AE8" si="11">(X8+Y8)/(C8+D8)</f>
        <v>0</v>
      </c>
      <c r="AF8" s="53">
        <f t="shared" ref="AF8" si="12">(AA8+AB8)/(F8+G8)</f>
        <v>0</v>
      </c>
      <c r="AG8" s="55">
        <f t="shared" ref="AG8" si="13">(Q8+W8)/B8</f>
        <v>0.79925338405195956</v>
      </c>
      <c r="AH8" s="55">
        <f t="shared" ref="AH8" si="14">(T8+Z8)/E8</f>
        <v>1.0993674792544803</v>
      </c>
      <c r="AI8" s="55">
        <f t="shared" ref="AI8" si="15">(R8+X8)/C8</f>
        <v>0.80154772519621764</v>
      </c>
      <c r="AJ8" s="55">
        <f t="shared" ref="AJ8" si="16">(U8+V8+AA8+AB8)/(F8+G8)</f>
        <v>1.6965011825839753</v>
      </c>
      <c r="AK8" s="55">
        <f>'31.12.2018'!O8+'31.12.2018'!Q8</f>
        <v>3.024</v>
      </c>
    </row>
    <row r="9" spans="1:37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5">
        <f t="shared" si="0"/>
        <v>0.88003251834997398</v>
      </c>
      <c r="AH9" s="55">
        <f t="shared" si="1"/>
        <v>1.2995790594155217</v>
      </c>
      <c r="AI9" s="55">
        <f t="shared" si="2"/>
        <v>1.0519376194565246</v>
      </c>
      <c r="AJ9" s="55">
        <f t="shared" si="3"/>
        <v>1.5630771489392941</v>
      </c>
      <c r="AK9" s="55">
        <f>'31.12.2018'!O9+'31.12.2018'!Q9</f>
        <v>3.9</v>
      </c>
    </row>
    <row r="10" spans="1:37" x14ac:dyDescent="0.25">
      <c r="A10" s="61" t="s">
        <v>33</v>
      </c>
      <c r="B10" s="53">
        <v>12.874000000000001</v>
      </c>
      <c r="C10" s="53">
        <v>3.2320000000000002</v>
      </c>
      <c r="D10" s="53">
        <v>0</v>
      </c>
      <c r="E10" s="53">
        <v>12.874000000000001</v>
      </c>
      <c r="F10" s="53">
        <v>3.2320000000000002</v>
      </c>
      <c r="G10" s="53">
        <v>0</v>
      </c>
      <c r="H10" s="53">
        <v>44.454999999999998</v>
      </c>
      <c r="I10" s="53">
        <v>0.95</v>
      </c>
      <c r="J10" s="53">
        <v>0.95</v>
      </c>
      <c r="K10" s="53">
        <v>1.1299999999999999</v>
      </c>
      <c r="L10" s="49">
        <v>0</v>
      </c>
      <c r="M10" s="53">
        <v>1.1399999999999999</v>
      </c>
      <c r="N10" s="53">
        <v>1.1399999999999999</v>
      </c>
      <c r="O10" s="53">
        <v>1.36</v>
      </c>
      <c r="P10" s="49">
        <v>0</v>
      </c>
      <c r="Q10" s="53">
        <v>9.3949999999999996</v>
      </c>
      <c r="R10" s="53">
        <v>2.911</v>
      </c>
      <c r="S10" s="53">
        <v>0</v>
      </c>
      <c r="T10" s="53">
        <v>15.593999999999999</v>
      </c>
      <c r="U10" s="53">
        <v>3.556</v>
      </c>
      <c r="V10" s="49">
        <v>9.2550000000000008</v>
      </c>
      <c r="W10" s="53"/>
      <c r="X10" s="53"/>
      <c r="Y10" s="53"/>
      <c r="Z10" s="53"/>
      <c r="AA10" s="53"/>
      <c r="AB10" s="53"/>
      <c r="AC10" s="53">
        <f t="shared" si="4"/>
        <v>0</v>
      </c>
      <c r="AD10" s="53">
        <f t="shared" si="5"/>
        <v>0</v>
      </c>
      <c r="AE10" s="53">
        <f t="shared" si="6"/>
        <v>0</v>
      </c>
      <c r="AF10" s="53">
        <f t="shared" si="7"/>
        <v>0</v>
      </c>
      <c r="AG10" s="55">
        <f t="shared" si="0"/>
        <v>0.72976541867329492</v>
      </c>
      <c r="AH10" s="55">
        <f t="shared" si="1"/>
        <v>1.2112785459064781</v>
      </c>
      <c r="AI10" s="55">
        <f t="shared" si="2"/>
        <v>0.90068069306930687</v>
      </c>
      <c r="AJ10" s="55">
        <f t="shared" si="3"/>
        <v>3.9637995049504946</v>
      </c>
      <c r="AK10" s="55">
        <f>'31.12.2018'!O10+'31.12.2018'!Q10</f>
        <v>2.5</v>
      </c>
    </row>
    <row r="11" spans="1:37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1.0967769959169489E-2</v>
      </c>
      <c r="AD11" s="53">
        <f t="shared" si="5"/>
        <v>0</v>
      </c>
      <c r="AE11" s="53">
        <f t="shared" si="6"/>
        <v>0.10334020974245813</v>
      </c>
      <c r="AF11" s="53">
        <f t="shared" si="7"/>
        <v>0</v>
      </c>
      <c r="AG11" s="55">
        <f t="shared" si="0"/>
        <v>0.61889388411085056</v>
      </c>
      <c r="AH11" s="55">
        <f t="shared" si="1"/>
        <v>0.79558602983379723</v>
      </c>
      <c r="AI11" s="55">
        <f t="shared" si="2"/>
        <v>0.81573140314685566</v>
      </c>
      <c r="AJ11" s="55">
        <f t="shared" si="3"/>
        <v>0.84199271802577591</v>
      </c>
      <c r="AK11" s="55">
        <f>'31.12.2018'!O11+'31.12.2018'!Q11</f>
        <v>2.3315999999999999</v>
      </c>
    </row>
    <row r="12" spans="1:37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5">
        <f t="shared" si="0"/>
        <v>0.97989817704056492</v>
      </c>
      <c r="AH12" s="55">
        <f t="shared" si="1"/>
        <v>1.299988393108823</v>
      </c>
      <c r="AI12" s="55">
        <f t="shared" si="2"/>
        <v>0.98074142916150364</v>
      </c>
      <c r="AJ12" s="55">
        <f t="shared" si="3"/>
        <v>1.7523994811932551</v>
      </c>
      <c r="AK12" s="55">
        <f>'31.12.2018'!O12+'31.12.2018'!Q12</f>
        <v>3.5256000000000003</v>
      </c>
    </row>
    <row r="13" spans="1:37" x14ac:dyDescent="0.25">
      <c r="A13" s="61" t="s">
        <v>36</v>
      </c>
      <c r="B13" s="53">
        <v>36.872999999999998</v>
      </c>
      <c r="C13" s="53">
        <v>11.788</v>
      </c>
      <c r="D13" s="53">
        <v>0</v>
      </c>
      <c r="E13" s="53">
        <v>36.313000000000002</v>
      </c>
      <c r="F13" s="53">
        <v>7.87</v>
      </c>
      <c r="G13" s="53">
        <v>0</v>
      </c>
      <c r="H13" s="53"/>
      <c r="I13" s="53">
        <v>0.8</v>
      </c>
      <c r="J13" s="53">
        <v>0.8</v>
      </c>
      <c r="K13" s="53">
        <v>1.6</v>
      </c>
      <c r="L13" s="53">
        <v>1.6</v>
      </c>
      <c r="M13" s="53">
        <v>0.96</v>
      </c>
      <c r="N13" s="53">
        <v>0.96</v>
      </c>
      <c r="O13" s="53">
        <v>1.92</v>
      </c>
      <c r="P13" s="53">
        <v>1.92</v>
      </c>
      <c r="Q13" s="53">
        <v>25.811</v>
      </c>
      <c r="R13" s="53">
        <v>8.2520000000000007</v>
      </c>
      <c r="S13" s="53">
        <v>0</v>
      </c>
      <c r="T13" s="53">
        <v>53.38</v>
      </c>
      <c r="U13" s="53">
        <v>11.569000000000001</v>
      </c>
      <c r="V13" s="53"/>
      <c r="W13" s="53"/>
      <c r="X13" s="53"/>
      <c r="Y13" s="53"/>
      <c r="Z13" s="53"/>
      <c r="AA13" s="53"/>
      <c r="AB13" s="53"/>
      <c r="AC13" s="53">
        <f t="shared" si="4"/>
        <v>0</v>
      </c>
      <c r="AD13" s="53">
        <f t="shared" si="5"/>
        <v>0</v>
      </c>
      <c r="AE13" s="53">
        <f t="shared" si="6"/>
        <v>0</v>
      </c>
      <c r="AF13" s="53">
        <f t="shared" si="7"/>
        <v>0</v>
      </c>
      <c r="AG13" s="55">
        <f t="shared" si="0"/>
        <v>0.69999728798850114</v>
      </c>
      <c r="AH13" s="55">
        <f t="shared" si="1"/>
        <v>1.4699969707818137</v>
      </c>
      <c r="AI13" s="55">
        <f t="shared" si="2"/>
        <v>0.70003393281303028</v>
      </c>
      <c r="AJ13" s="55">
        <f t="shared" si="3"/>
        <v>1.470012706480305</v>
      </c>
      <c r="AK13" s="55">
        <f>'31.12.2018'!O13+'31.12.2018'!Q13</f>
        <v>3.456</v>
      </c>
    </row>
    <row r="14" spans="1:37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4"/>
        <v>0</v>
      </c>
      <c r="AD14" s="53">
        <f t="shared" si="5"/>
        <v>0</v>
      </c>
      <c r="AE14" s="53">
        <f t="shared" si="6"/>
        <v>0</v>
      </c>
      <c r="AF14" s="53">
        <f t="shared" si="7"/>
        <v>0</v>
      </c>
      <c r="AG14" s="55">
        <f t="shared" si="0"/>
        <v>1.1520338946782789</v>
      </c>
      <c r="AH14" s="55">
        <f t="shared" si="1"/>
        <v>1.3016703656114941</v>
      </c>
      <c r="AI14" s="55">
        <f t="shared" si="2"/>
        <v>1.2099607267705321</v>
      </c>
      <c r="AJ14" s="55">
        <f t="shared" si="3"/>
        <v>1.3286790266512165</v>
      </c>
      <c r="AK14" s="55">
        <f>'31.12.2018'!O14+'31.12.2018'!Q14</f>
        <v>3.51</v>
      </c>
    </row>
    <row r="15" spans="1:37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/>
      <c r="AH15" s="55"/>
      <c r="AI15" s="55"/>
      <c r="AJ15" s="55"/>
      <c r="AK15" s="55">
        <f>'31.12.2018'!O15+'31.12.2018'!Q15</f>
        <v>4.2780000000000005</v>
      </c>
    </row>
    <row r="16" spans="1:37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4"/>
        <v>0.11849604637715984</v>
      </c>
      <c r="AD16" s="53">
        <f t="shared" si="5"/>
        <v>0.11882713454940048</v>
      </c>
      <c r="AE16" s="53">
        <f t="shared" si="6"/>
        <v>7.8722718617255022E-2</v>
      </c>
      <c r="AF16" s="53">
        <f t="shared" si="7"/>
        <v>6.5533099571828804E-2</v>
      </c>
      <c r="AG16" s="55">
        <f t="shared" si="0"/>
        <v>0.99849814896860367</v>
      </c>
      <c r="AH16" s="55">
        <f t="shared" si="1"/>
        <v>1.0288065780725819</v>
      </c>
      <c r="AI16" s="55">
        <f t="shared" si="2"/>
        <v>0.95872857770616671</v>
      </c>
      <c r="AJ16" s="55">
        <f t="shared" si="3"/>
        <v>0.97554666713653904</v>
      </c>
      <c r="AK16" s="55">
        <f>'31.12.2018'!O16+'31.12.2018'!Q16</f>
        <v>2.988</v>
      </c>
    </row>
    <row r="17" spans="1:37" x14ac:dyDescent="0.25">
      <c r="A17" s="61" t="s">
        <v>40</v>
      </c>
      <c r="B17" s="53">
        <v>48.48</v>
      </c>
      <c r="C17" s="53">
        <v>6.8789999999999996</v>
      </c>
      <c r="D17" s="53">
        <v>7.4999999999999997E-2</v>
      </c>
      <c r="E17" s="53">
        <v>46.804000000000002</v>
      </c>
      <c r="F17" s="53">
        <v>4.7789999999999999</v>
      </c>
      <c r="G17" s="53"/>
      <c r="H17" s="53"/>
      <c r="I17" s="53">
        <v>1.1399999999999999</v>
      </c>
      <c r="J17" s="53">
        <v>1.68</v>
      </c>
      <c r="K17" s="53">
        <v>1.68</v>
      </c>
      <c r="L17" s="53">
        <v>2.71</v>
      </c>
      <c r="M17" s="53">
        <v>1.3680000000000001</v>
      </c>
      <c r="N17" s="53">
        <v>2.016</v>
      </c>
      <c r="O17" s="53">
        <v>2.016</v>
      </c>
      <c r="P17" s="53">
        <v>3.2519999999999998</v>
      </c>
      <c r="Q17" s="53">
        <v>55.267000000000003</v>
      </c>
      <c r="R17" s="53">
        <v>11.557</v>
      </c>
      <c r="S17" s="53">
        <v>0.126</v>
      </c>
      <c r="T17" s="53">
        <v>78.631</v>
      </c>
      <c r="U17" s="53">
        <v>12.951000000000001</v>
      </c>
      <c r="V17" s="53">
        <v>0</v>
      </c>
      <c r="W17" s="53">
        <v>7.694</v>
      </c>
      <c r="X17" s="53">
        <v>0.33</v>
      </c>
      <c r="Y17" s="53">
        <v>1.9E-2</v>
      </c>
      <c r="Z17" s="53">
        <v>0</v>
      </c>
      <c r="AA17" s="53">
        <v>0</v>
      </c>
      <c r="AB17" s="53">
        <v>0</v>
      </c>
      <c r="AC17" s="53">
        <f t="shared" si="4"/>
        <v>0.15870462046204623</v>
      </c>
      <c r="AD17" s="53">
        <f t="shared" si="5"/>
        <v>0</v>
      </c>
      <c r="AE17" s="53">
        <f t="shared" si="6"/>
        <v>5.0186942766752951E-2</v>
      </c>
      <c r="AF17" s="53">
        <f t="shared" si="7"/>
        <v>0</v>
      </c>
      <c r="AG17" s="55">
        <f t="shared" si="0"/>
        <v>1.2987004950495051</v>
      </c>
      <c r="AH17" s="55">
        <f t="shared" si="1"/>
        <v>1.6800059823946671</v>
      </c>
      <c r="AI17" s="55">
        <f t="shared" si="2"/>
        <v>1.7280127925570579</v>
      </c>
      <c r="AJ17" s="55">
        <f t="shared" si="3"/>
        <v>2.7099811676082863</v>
      </c>
      <c r="AK17" s="55">
        <f>'31.12.2018'!O17+'31.12.2018'!Q17</f>
        <v>3.7560000000000002</v>
      </c>
    </row>
    <row r="18" spans="1:37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v>1.236</v>
      </c>
      <c r="N18" s="53"/>
      <c r="O18" s="53">
        <v>1.236</v>
      </c>
      <c r="P18" s="53"/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 s="53">
        <f t="shared" si="4"/>
        <v>6.9620980531868437E-2</v>
      </c>
      <c r="AD18" s="53">
        <f t="shared" si="5"/>
        <v>3.5452454816255349E-2</v>
      </c>
      <c r="AE18" s="53">
        <f t="shared" si="6"/>
        <v>6.6647452986526398E-2</v>
      </c>
      <c r="AF18" s="53">
        <f t="shared" si="7"/>
        <v>0</v>
      </c>
      <c r="AG18" s="55">
        <f t="shared" si="0"/>
        <v>0.51169926678465538</v>
      </c>
      <c r="AH18" s="55">
        <f t="shared" si="1"/>
        <v>1.0327977651216991</v>
      </c>
      <c r="AI18" s="55">
        <f t="shared" si="2"/>
        <v>0.87509244802366659</v>
      </c>
      <c r="AJ18" s="55">
        <f t="shared" si="3"/>
        <v>0.79187448988845555</v>
      </c>
      <c r="AK18" s="55">
        <f>'31.12.2018'!O18+'31.12.2018'!Q18</f>
        <v>3.8280000000000003</v>
      </c>
    </row>
    <row r="19" spans="1:37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4"/>
        <v>0</v>
      </c>
      <c r="AD19" s="53">
        <f t="shared" si="5"/>
        <v>0</v>
      </c>
      <c r="AE19" s="53">
        <f t="shared" si="6"/>
        <v>0</v>
      </c>
      <c r="AF19" s="53">
        <f t="shared" si="7"/>
        <v>0</v>
      </c>
      <c r="AG19" s="55">
        <f t="shared" si="0"/>
        <v>0.87942701671976364</v>
      </c>
      <c r="AH19" s="55">
        <f t="shared" si="1"/>
        <v>1.639238711141366</v>
      </c>
      <c r="AI19" s="55">
        <f t="shared" si="2"/>
        <v>1.0438565051643804</v>
      </c>
      <c r="AJ19" s="55">
        <f t="shared" si="3"/>
        <v>1.8885325850953669</v>
      </c>
      <c r="AK19" s="55">
        <f>'31.12.2018'!O19+'31.12.2018'!Q19</f>
        <v>4.3680000000000003</v>
      </c>
    </row>
    <row r="20" spans="1:37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5"/>
      <c r="AH20" s="55"/>
      <c r="AI20" s="55"/>
      <c r="AJ20" s="55"/>
      <c r="AK20" s="55">
        <f>'31.12.2018'!O20+'31.12.2018'!Q20</f>
        <v>3.1268382064165277</v>
      </c>
    </row>
    <row r="21" spans="1:37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4"/>
        <v>5.9174293350611491E-3</v>
      </c>
      <c r="AD21" s="53">
        <f t="shared" si="5"/>
        <v>5.889227873654812E-3</v>
      </c>
      <c r="AE21" s="53">
        <f t="shared" si="6"/>
        <v>1.4628205774898577E-3</v>
      </c>
      <c r="AF21" s="53">
        <f t="shared" si="7"/>
        <v>9.4609936746499425E-4</v>
      </c>
      <c r="AG21" s="55">
        <f t="shared" si="0"/>
        <v>0.88369138252207025</v>
      </c>
      <c r="AH21" s="55">
        <f t="shared" si="1"/>
        <v>1.6710127549342522</v>
      </c>
      <c r="AI21" s="55">
        <f t="shared" si="2"/>
        <v>0.94171776930670958</v>
      </c>
      <c r="AJ21" s="55">
        <f t="shared" si="3"/>
        <v>2.1638049413418394</v>
      </c>
      <c r="AK21" s="55">
        <f>'31.12.2018'!O21+'31.12.2018'!Q21</f>
        <v>3.8159999999999998</v>
      </c>
    </row>
    <row r="22" spans="1:37" x14ac:dyDescent="0.25">
      <c r="A22" s="61" t="s">
        <v>45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4"/>
        <v>0</v>
      </c>
      <c r="AD22" s="53">
        <f t="shared" si="5"/>
        <v>0</v>
      </c>
      <c r="AE22" s="53">
        <f t="shared" si="6"/>
        <v>0</v>
      </c>
      <c r="AF22" s="53">
        <f t="shared" si="7"/>
        <v>0</v>
      </c>
      <c r="AG22" s="55">
        <f t="shared" si="0"/>
        <v>0.76225327123530717</v>
      </c>
      <c r="AH22" s="55">
        <f t="shared" si="1"/>
        <v>1.0803619386026526</v>
      </c>
      <c r="AI22" s="55">
        <f t="shared" si="2"/>
        <v>0.9160878332959892</v>
      </c>
      <c r="AJ22" s="55">
        <f t="shared" si="3"/>
        <v>1.621903520208605</v>
      </c>
      <c r="AK22" s="55">
        <f>'31.12.2018'!O22+'31.12.2018'!Q22</f>
        <v>3.6</v>
      </c>
    </row>
    <row r="23" spans="1:37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5">
        <f t="shared" si="0"/>
        <v>1.0845812438757276</v>
      </c>
      <c r="AH23" s="55">
        <f t="shared" si="1"/>
        <v>1.373533830622842</v>
      </c>
      <c r="AI23" s="55">
        <f t="shared" si="2"/>
        <v>1.080019864260884</v>
      </c>
      <c r="AJ23" s="55">
        <f t="shared" si="3"/>
        <v>1.3716961563845502</v>
      </c>
      <c r="AK23" s="55">
        <f>'31.12.2018'!O23+'31.12.2018'!Q23</f>
        <v>4.1495999999999995</v>
      </c>
    </row>
    <row r="24" spans="1:37" x14ac:dyDescent="0.25">
      <c r="A24" s="61" t="s">
        <v>47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4"/>
        <v>0</v>
      </c>
      <c r="AD24" s="53">
        <f t="shared" si="5"/>
        <v>0</v>
      </c>
      <c r="AE24" s="53">
        <f t="shared" si="6"/>
        <v>0</v>
      </c>
      <c r="AF24" s="53">
        <f t="shared" si="7"/>
        <v>0</v>
      </c>
      <c r="AG24" s="55">
        <f t="shared" si="0"/>
        <v>0.88999817651349378</v>
      </c>
      <c r="AH24" s="55">
        <f t="shared" si="1"/>
        <v>0.8942359891425834</v>
      </c>
      <c r="AI24" s="55">
        <f t="shared" si="2"/>
        <v>1.2799895914650012</v>
      </c>
      <c r="AJ24" s="55">
        <f t="shared" si="3"/>
        <v>1.469523117889131</v>
      </c>
      <c r="AK24" s="55">
        <f>'31.12.2018'!O24+'31.12.2018'!Q24</f>
        <v>2.7</v>
      </c>
    </row>
    <row r="25" spans="1:37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5">
        <f t="shared" si="0"/>
        <v>0.75615624673314896</v>
      </c>
      <c r="AH25" s="55">
        <f t="shared" si="1"/>
        <v>1.2315762399589876</v>
      </c>
      <c r="AI25" s="55">
        <f t="shared" si="2"/>
        <v>0.65771646125267458</v>
      </c>
      <c r="AJ25" s="55">
        <f t="shared" si="3"/>
        <v>1.1102469659745284</v>
      </c>
      <c r="AK25" s="55">
        <f>'31.12.2018'!O25+'31.12.2018'!Q25</f>
        <v>3.516</v>
      </c>
    </row>
    <row r="26" spans="1:37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5">
        <f>(Q26+W26)/B26</f>
        <v>0.94997561885093085</v>
      </c>
      <c r="AH26" s="55">
        <f>(T26+Z26)/E26</f>
        <v>1.199990389697756</v>
      </c>
      <c r="AI26" s="55">
        <f>(R26+X26)/C26</f>
        <v>1.0500039249548629</v>
      </c>
      <c r="AJ26" s="55">
        <f>(U26+V26+AA26+AB26)/(F26+G26)</f>
        <v>1.4598601909633748</v>
      </c>
      <c r="AK26" s="55">
        <f>'31.12.2018'!O26+'31.12.2018'!Q26</f>
        <v>2.6760000000000002</v>
      </c>
    </row>
    <row r="27" spans="1:37" x14ac:dyDescent="0.25">
      <c r="A27" s="64" t="s">
        <v>50</v>
      </c>
      <c r="B27" s="53">
        <v>86.088999999999999</v>
      </c>
      <c r="C27" s="53">
        <v>29.715</v>
      </c>
      <c r="D27" s="53">
        <v>1.278</v>
      </c>
      <c r="E27" s="53">
        <v>82.031999999999996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3">
        <v>0.74399999999999999</v>
      </c>
      <c r="N27" s="53"/>
      <c r="O27" s="53">
        <v>1.464</v>
      </c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4"/>
        <v>0</v>
      </c>
      <c r="AD27" s="53">
        <f t="shared" si="5"/>
        <v>0</v>
      </c>
      <c r="AE27" s="53">
        <f t="shared" si="6"/>
        <v>0</v>
      </c>
      <c r="AF27" s="53">
        <f t="shared" si="7"/>
        <v>0</v>
      </c>
      <c r="AG27" s="55">
        <f t="shared" ref="AG27:AG42" si="17">(Q27+W27)/B27</f>
        <v>0.62302965535666577</v>
      </c>
      <c r="AH27" s="55">
        <f t="shared" ref="AH27:AH42" si="18">(T27+Z27)/E27</f>
        <v>1.221218548858982</v>
      </c>
      <c r="AI27" s="55">
        <f t="shared" ref="AI27:AI42" si="19">(R27+X27)/C27</f>
        <v>0.89567558472152109</v>
      </c>
      <c r="AJ27" s="55">
        <f t="shared" ref="AJ27:AJ42" si="20">(U27+V27+AA27+AB27)/(F27+G27)</f>
        <v>1.4802664508036163</v>
      </c>
      <c r="AK27" s="55">
        <f>'31.12.2018'!O27+'31.12.2018'!Q27</f>
        <v>2.82</v>
      </c>
    </row>
    <row r="28" spans="1:37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5">
        <f t="shared" si="17"/>
        <v>0.76399873769748139</v>
      </c>
      <c r="AH28" s="55">
        <f t="shared" si="18"/>
        <v>0.64499962748652739</v>
      </c>
      <c r="AI28" s="55">
        <f t="shared" si="19"/>
        <v>0.76400345399595515</v>
      </c>
      <c r="AJ28" s="55">
        <f t="shared" si="20"/>
        <v>0.64499891706945289</v>
      </c>
      <c r="AK28" s="55">
        <f>'31.12.2018'!O28+'31.12.2018'!Q28</f>
        <v>2.2800000000000002</v>
      </c>
    </row>
    <row r="29" spans="1:37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/>
      <c r="AH29" s="55"/>
      <c r="AI29" s="55"/>
      <c r="AJ29" s="55"/>
      <c r="AK29" s="55">
        <f>'31.12.2018'!O29+'31.12.2018'!Q29</f>
        <v>5.0399999999999991</v>
      </c>
    </row>
    <row r="30" spans="1:37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/>
      <c r="AH30" s="55"/>
      <c r="AI30" s="55"/>
      <c r="AJ30" s="55"/>
      <c r="AK30" s="55">
        <f>'31.12.2018'!O30+'31.12.2018'!Q30</f>
        <v>2.6879999999999997</v>
      </c>
    </row>
    <row r="31" spans="1:37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5">
        <f t="shared" si="17"/>
        <v>0.72615968478812642</v>
      </c>
      <c r="AH31" s="55">
        <f t="shared" si="18"/>
        <v>0.91472088969194165</v>
      </c>
      <c r="AI31" s="55">
        <f t="shared" si="19"/>
        <v>0.71665866739007955</v>
      </c>
      <c r="AJ31" s="55">
        <f t="shared" si="20"/>
        <v>0.93633352400462933</v>
      </c>
      <c r="AK31" s="55">
        <f>'31.12.2018'!O31+'31.12.2018'!Q31</f>
        <v>3.0804</v>
      </c>
    </row>
    <row r="32" spans="1:37" x14ac:dyDescent="0.25">
      <c r="A32" s="61" t="s">
        <v>55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 t="shared" si="17"/>
        <v>1.1361670232202252</v>
      </c>
      <c r="AH32" s="55">
        <f t="shared" si="18"/>
        <v>1.1442430025445292</v>
      </c>
      <c r="AI32" s="55">
        <f t="shared" si="19"/>
        <v>1.2921573137074518</v>
      </c>
      <c r="AJ32" s="55">
        <f t="shared" si="20"/>
        <v>1.9963516839043864</v>
      </c>
      <c r="AK32" s="55">
        <f>'31.12.2018'!O32+'31.12.2018'!Q32</f>
        <v>2.1120000000000001</v>
      </c>
    </row>
    <row r="33" spans="1:37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5">
        <f t="shared" si="17"/>
        <v>0.76098776051466765</v>
      </c>
      <c r="AH33" s="55">
        <f t="shared" si="18"/>
        <v>0.58309961193879967</v>
      </c>
      <c r="AI33" s="55">
        <f t="shared" si="19"/>
        <v>0.89000139840581727</v>
      </c>
      <c r="AJ33" s="55">
        <f t="shared" si="20"/>
        <v>0.85747002559612018</v>
      </c>
      <c r="AK33" s="55">
        <f>'31.12.2018'!O33+'31.12.2018'!Q33</f>
        <v>3.3719999999999999</v>
      </c>
    </row>
    <row r="34" spans="1:37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5">
        <f t="shared" si="17"/>
        <v>0.91588165515316444</v>
      </c>
      <c r="AH34" s="55">
        <f t="shared" si="18"/>
        <v>1.3636522205823158</v>
      </c>
      <c r="AI34" s="55">
        <f t="shared" si="19"/>
        <v>1.540762331838565</v>
      </c>
      <c r="AJ34" s="55">
        <f t="shared" si="20"/>
        <v>2.2919541323690349</v>
      </c>
      <c r="AK34" s="55">
        <f>'31.12.2018'!O34+'31.12.2018'!Q34</f>
        <v>2.08</v>
      </c>
    </row>
    <row r="35" spans="1:37" x14ac:dyDescent="0.25">
      <c r="A35" s="61" t="s">
        <v>58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4"/>
        <v>0</v>
      </c>
      <c r="AD35" s="53">
        <f t="shared" si="5"/>
        <v>0</v>
      </c>
      <c r="AE35" s="53">
        <f t="shared" si="6"/>
        <v>0</v>
      </c>
      <c r="AF35" s="53">
        <f t="shared" si="7"/>
        <v>0</v>
      </c>
      <c r="AG35" s="55">
        <f t="shared" si="17"/>
        <v>0.95</v>
      </c>
      <c r="AH35" s="55">
        <f t="shared" si="18"/>
        <v>0.78000585480093676</v>
      </c>
      <c r="AI35" s="55">
        <f t="shared" si="19"/>
        <v>2.122851919561243</v>
      </c>
      <c r="AJ35" s="55">
        <f t="shared" si="20"/>
        <v>1.4646207974980454</v>
      </c>
      <c r="AK35" s="55">
        <f>'31.12.2018'!O35+'31.12.2018'!Q35</f>
        <v>2.496</v>
      </c>
    </row>
    <row r="36" spans="1:37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5">
        <f t="shared" si="17"/>
        <v>0.89198693402935159</v>
      </c>
      <c r="AH36" s="55">
        <f t="shared" si="18"/>
        <v>1.125046284051838</v>
      </c>
      <c r="AI36" s="55">
        <f t="shared" si="19"/>
        <v>1.0499937382592361</v>
      </c>
      <c r="AJ36" s="55">
        <f t="shared" si="20"/>
        <v>1.3250159948816378</v>
      </c>
      <c r="AK36" s="55">
        <f>'31.12.2018'!O36+'31.12.2018'!Q36</f>
        <v>2.0350000000000001</v>
      </c>
    </row>
    <row r="37" spans="1:37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5">
        <f t="shared" si="17"/>
        <v>0.58041581642691309</v>
      </c>
      <c r="AH37" s="55">
        <f t="shared" si="18"/>
        <v>1.0000077174352295</v>
      </c>
      <c r="AI37" s="55">
        <f t="shared" si="19"/>
        <v>0.58043368497948133</v>
      </c>
      <c r="AJ37" s="55">
        <f t="shared" si="20"/>
        <v>1.3255250168251249</v>
      </c>
      <c r="AK37" s="55">
        <f>'31.12.2018'!O37+'31.12.2018'!Q37</f>
        <v>3.7559999999999998</v>
      </c>
    </row>
    <row r="38" spans="1:37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5">
        <f t="shared" si="17"/>
        <v>0.79768577372009708</v>
      </c>
      <c r="AH38" s="55">
        <f t="shared" si="18"/>
        <v>0.90181023221093604</v>
      </c>
      <c r="AI38" s="55">
        <f t="shared" si="19"/>
        <v>0.95315272684254126</v>
      </c>
      <c r="AJ38" s="55">
        <f t="shared" si="20"/>
        <v>1.0535346012832263</v>
      </c>
      <c r="AK38" s="55">
        <f>'31.12.2018'!O38+'31.12.2018'!Q38</f>
        <v>2.9929999999999999</v>
      </c>
    </row>
    <row r="39" spans="1:37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5">
        <f t="shared" si="17"/>
        <v>1.0076549220165065</v>
      </c>
      <c r="AH39" s="55">
        <f t="shared" si="18"/>
        <v>1.1770239741039215</v>
      </c>
      <c r="AI39" s="55">
        <f t="shared" si="19"/>
        <v>1.0085282298863867</v>
      </c>
      <c r="AJ39" s="55">
        <f t="shared" si="20"/>
        <v>1.1675336016402156</v>
      </c>
      <c r="AK39" s="55">
        <f>'31.12.2018'!O39+'31.12.2018'!Q39</f>
        <v>3.137</v>
      </c>
    </row>
    <row r="40" spans="1:37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1">W40/B40</f>
        <v>0</v>
      </c>
      <c r="AD40" s="53">
        <f t="shared" ref="AD40" si="22">Z40/E40</f>
        <v>0</v>
      </c>
      <c r="AE40" s="53">
        <f t="shared" ref="AE40" si="23">(X40+Y40)/(C40+D40)</f>
        <v>0</v>
      </c>
      <c r="AF40" s="53">
        <f t="shared" ref="AF40" si="24">(AA40+AB40)/(F40+G40)</f>
        <v>0</v>
      </c>
      <c r="AG40" s="55">
        <f t="shared" ref="AG40" si="25">(Q40+W40)/B40</f>
        <v>0.7730582524271844</v>
      </c>
      <c r="AH40" s="55">
        <f t="shared" ref="AH40" si="26">(T40+Z40)/E40</f>
        <v>0.9519913367825773</v>
      </c>
      <c r="AI40" s="55">
        <f t="shared" ref="AI40" si="27">(R40+X40)/C40</f>
        <v>0.77325056433408579</v>
      </c>
      <c r="AJ40" s="55">
        <f t="shared" ref="AJ40" si="28">(U40+V40+AA40+AB40)/(F40+G40)</f>
        <v>0.97857675111773468</v>
      </c>
      <c r="AK40" s="55">
        <f>'31.12.2018'!O40+'31.12.2018'!Q40</f>
        <v>3.3529999999999998</v>
      </c>
    </row>
    <row r="41" spans="1:37" x14ac:dyDescent="0.25">
      <c r="A41" s="61" t="s">
        <v>64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4"/>
        <v>0</v>
      </c>
      <c r="AD41" s="53">
        <f t="shared" si="5"/>
        <v>0</v>
      </c>
      <c r="AE41" s="53">
        <f t="shared" si="6"/>
        <v>0</v>
      </c>
      <c r="AF41" s="53">
        <f t="shared" si="7"/>
        <v>0</v>
      </c>
      <c r="AG41" s="55">
        <f t="shared" si="17"/>
        <v>1.2526459031823802</v>
      </c>
      <c r="AH41" s="55">
        <f t="shared" si="18"/>
        <v>1.8533815584036302</v>
      </c>
      <c r="AI41" s="55">
        <f t="shared" si="19"/>
        <v>1.629702444208289</v>
      </c>
      <c r="AJ41" s="55">
        <f t="shared" si="20"/>
        <v>1.8465690408648316</v>
      </c>
      <c r="AK41" s="55">
        <f>'31.12.2018'!O41+'31.12.2018'!Q41</f>
        <v>3.84</v>
      </c>
    </row>
    <row r="42" spans="1:37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5">
        <f t="shared" si="17"/>
        <v>0.75755637294098832</v>
      </c>
      <c r="AH42" s="55">
        <f t="shared" si="18"/>
        <v>0.97603269856618735</v>
      </c>
      <c r="AI42" s="55">
        <f t="shared" si="19"/>
        <v>0.76044728434504794</v>
      </c>
      <c r="AJ42" s="55">
        <f t="shared" si="20"/>
        <v>1.2926315444776151</v>
      </c>
      <c r="AK42" s="55">
        <f>'31.12.2018'!O42+'31.12.2018'!Q42</f>
        <v>2.2200000000000002</v>
      </c>
    </row>
    <row r="43" spans="1:37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29">W43/B43</f>
        <v>0</v>
      </c>
      <c r="AD43" s="53">
        <f t="shared" ref="AD43" si="30">Z43/E43</f>
        <v>0</v>
      </c>
      <c r="AE43" s="53">
        <f t="shared" ref="AE43" si="31">(X43+Y43)/(C43+D43)</f>
        <v>0</v>
      </c>
      <c r="AF43" s="53">
        <f t="shared" ref="AF43" si="32">(AA43+AB43)/(F43+G43)</f>
        <v>0</v>
      </c>
      <c r="AG43" s="55">
        <f t="shared" ref="AG43" si="33">(Q43+W43)/B43</f>
        <v>0.75755637294098832</v>
      </c>
      <c r="AH43" s="55">
        <f t="shared" ref="AH43" si="34">(T43+Z43)/E43</f>
        <v>0.97603269856618735</v>
      </c>
      <c r="AI43" s="55">
        <f t="shared" ref="AI43" si="35">(R43+X43)/C43</f>
        <v>0.76044728434504794</v>
      </c>
      <c r="AJ43" s="55">
        <f t="shared" ref="AJ43" si="36">(U43+V43+AA43+AB43)/(F43+G43)</f>
        <v>1.2926315444776151</v>
      </c>
      <c r="AK43" s="55">
        <f>'31.12.2018'!O43+'31.12.2018'!Q43</f>
        <v>3</v>
      </c>
    </row>
    <row r="44" spans="1:37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7">W44/B44</f>
        <v>0</v>
      </c>
      <c r="AD44" s="53">
        <f t="shared" ref="AD44" si="38">Z44/E44</f>
        <v>0</v>
      </c>
      <c r="AE44" s="53">
        <f t="shared" ref="AE44" si="39">(X44+Y44)/(C44+D44)</f>
        <v>0</v>
      </c>
      <c r="AF44" s="53">
        <f t="shared" ref="AF44" si="40">(AA44+AB44)/(F44+G44)</f>
        <v>0</v>
      </c>
      <c r="AG44" s="55">
        <f t="shared" ref="AG44" si="41">(Q44+W44)/B44</f>
        <v>0.75755637294098832</v>
      </c>
      <c r="AH44" s="55">
        <f t="shared" ref="AH44" si="42">(T44+Z44)/E44</f>
        <v>0.97603269856618735</v>
      </c>
      <c r="AI44" s="55">
        <f t="shared" ref="AI44" si="43">(R44+X44)/C44</f>
        <v>0.76044728434504794</v>
      </c>
      <c r="AJ44" s="55">
        <f t="shared" ref="AJ44" si="44">(U44+V44+AA44+AB44)/(F44+G44)</f>
        <v>1.2926315444776151</v>
      </c>
      <c r="AK44" s="55">
        <f>'31.12.2018'!O44+'31.12.2018'!Q44</f>
        <v>3.024</v>
      </c>
    </row>
    <row r="45" spans="1:37" x14ac:dyDescent="0.25">
      <c r="A45" s="4" t="s">
        <v>72</v>
      </c>
      <c r="AK45" s="6">
        <f>SUM(AK4:AK44)/41</f>
        <v>3.1568467368352082</v>
      </c>
    </row>
    <row r="46" spans="1:37" x14ac:dyDescent="0.25">
      <c r="A46" s="4" t="s">
        <v>68</v>
      </c>
    </row>
    <row r="47" spans="1:37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7"/>
  <sheetViews>
    <sheetView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O45" sqref="AO45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 t="s">
        <v>3</v>
      </c>
      <c r="AL1" s="12"/>
      <c r="AM1" s="12"/>
      <c r="AN1" s="13"/>
      <c r="AO1" s="21" t="s">
        <v>2</v>
      </c>
    </row>
    <row r="2" spans="1:41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0"/>
    </row>
    <row r="3" spans="1:41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7" t="s">
        <v>25</v>
      </c>
      <c r="AH3" s="17" t="s">
        <v>26</v>
      </c>
      <c r="AI3" s="17" t="s">
        <v>25</v>
      </c>
      <c r="AJ3" s="17" t="s">
        <v>26</v>
      </c>
      <c r="AK3" s="14" t="s">
        <v>25</v>
      </c>
      <c r="AL3" s="14" t="s">
        <v>26</v>
      </c>
      <c r="AM3" s="14" t="s">
        <v>25</v>
      </c>
      <c r="AN3" s="14" t="s">
        <v>26</v>
      </c>
      <c r="AO3" s="20" t="s">
        <v>76</v>
      </c>
    </row>
    <row r="4" spans="1:41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3">
        <f>I4+AC4</f>
        <v>1.3305203226000122</v>
      </c>
      <c r="AH4" s="53">
        <f>K4+AD4</f>
        <v>2.1805188367981221</v>
      </c>
      <c r="AI4" s="55">
        <f>AG4*1.2</f>
        <v>1.5966243871200145</v>
      </c>
      <c r="AJ4" s="55">
        <f>AH4*1.2</f>
        <v>2.6166226041577465</v>
      </c>
      <c r="AK4" s="55">
        <f t="shared" ref="AK4:AK25" si="0">(Q4+W4)/B4</f>
        <v>1.3378944945866438</v>
      </c>
      <c r="AL4" s="55">
        <f t="shared" ref="AL4:AL25" si="1">(T4+Z4)/E4</f>
        <v>2.1815022088343299</v>
      </c>
      <c r="AM4" s="55">
        <f t="shared" ref="AM4:AM25" si="2">(R4+X4)/C4</f>
        <v>2.0532136351808479</v>
      </c>
      <c r="AN4" s="55">
        <f t="shared" ref="AN4:AN25" si="3">(U4+V4+AA4+AB4)/(F4+G4)</f>
        <v>3.0793226931744515</v>
      </c>
      <c r="AO4" s="55">
        <f>'31.12.2018'!AK4+'31.12.2018'!AL4</f>
        <v>3.4811999999999999</v>
      </c>
    </row>
    <row r="5" spans="1:41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4">W5/B5</f>
        <v>0</v>
      </c>
      <c r="AD5" s="53">
        <f t="shared" ref="AD5:AD42" si="5">Z5/E5</f>
        <v>0</v>
      </c>
      <c r="AE5" s="53">
        <f t="shared" ref="AE5:AE42" si="6">(X5+Y5)/(C5+D5)</f>
        <v>0</v>
      </c>
      <c r="AF5" s="53">
        <f t="shared" ref="AF5:AF42" si="7">(AA5+AB5)/(F5+G5)</f>
        <v>0</v>
      </c>
      <c r="AG5" s="53">
        <f t="shared" ref="AG5:AG42" si="8">I5+AC5</f>
        <v>0.9</v>
      </c>
      <c r="AH5" s="53">
        <f t="shared" ref="AH5:AH42" si="9">K5+AD5</f>
        <v>1.0900000000000001</v>
      </c>
      <c r="AI5" s="55">
        <f t="shared" ref="AI5:AJ42" si="10">AG5*1.2</f>
        <v>1.08</v>
      </c>
      <c r="AJ5" s="55">
        <f t="shared" si="10"/>
        <v>1.3080000000000001</v>
      </c>
      <c r="AK5" s="55">
        <f t="shared" si="0"/>
        <v>0.83448706250065552</v>
      </c>
      <c r="AL5" s="55">
        <f t="shared" si="1"/>
        <v>1.0513394445204542</v>
      </c>
      <c r="AM5" s="55">
        <f t="shared" si="2"/>
        <v>0.77812921961415382</v>
      </c>
      <c r="AN5" s="55">
        <f t="shared" si="3"/>
        <v>1.2934140769794407</v>
      </c>
      <c r="AO5" s="55">
        <f>'31.12.2018'!AK5+'31.12.2018'!AL5</f>
        <v>3.2680968957300842</v>
      </c>
    </row>
    <row r="6" spans="1:41" s="15" customFormat="1" x14ac:dyDescent="0.25">
      <c r="A6" s="61" t="s">
        <v>29</v>
      </c>
      <c r="B6" s="65">
        <v>44.539000000000001</v>
      </c>
      <c r="C6" s="65">
        <v>0</v>
      </c>
      <c r="D6" s="65">
        <v>0</v>
      </c>
      <c r="E6" s="65">
        <v>43.347999999999999</v>
      </c>
      <c r="F6" s="65">
        <v>0</v>
      </c>
      <c r="G6" s="65">
        <v>0</v>
      </c>
      <c r="H6" s="65"/>
      <c r="I6" s="65">
        <v>0.73</v>
      </c>
      <c r="J6" s="65"/>
      <c r="K6" s="65">
        <v>0.59</v>
      </c>
      <c r="L6" s="65"/>
      <c r="M6" s="65">
        <v>0.88</v>
      </c>
      <c r="N6" s="65"/>
      <c r="O6" s="65">
        <v>0.71</v>
      </c>
      <c r="P6" s="65"/>
      <c r="Q6" s="65">
        <v>32.47</v>
      </c>
      <c r="R6" s="65"/>
      <c r="S6" s="65"/>
      <c r="T6" s="65">
        <v>25.533000000000001</v>
      </c>
      <c r="U6" s="65"/>
      <c r="V6" s="65"/>
      <c r="W6" s="65">
        <v>7.8680000000000003</v>
      </c>
      <c r="X6" s="65"/>
      <c r="Y6" s="65"/>
      <c r="Z6" s="65">
        <v>5.8470000000000004</v>
      </c>
      <c r="AA6" s="65"/>
      <c r="AB6" s="65"/>
      <c r="AC6" s="65">
        <f t="shared" si="4"/>
        <v>0.17665416825703317</v>
      </c>
      <c r="AD6" s="65">
        <f t="shared" si="5"/>
        <v>0.13488511580695767</v>
      </c>
      <c r="AE6" s="65"/>
      <c r="AF6" s="65"/>
      <c r="AG6" s="53">
        <f t="shared" si="8"/>
        <v>0.90665416825703316</v>
      </c>
      <c r="AH6" s="53">
        <f t="shared" si="9"/>
        <v>0.72488511580695758</v>
      </c>
      <c r="AI6" s="55">
        <f t="shared" si="10"/>
        <v>1.0879850019084398</v>
      </c>
      <c r="AJ6" s="55">
        <f t="shared" si="10"/>
        <v>0.86986213896834907</v>
      </c>
      <c r="AK6" s="66">
        <f t="shared" si="0"/>
        <v>0.90567816969397608</v>
      </c>
      <c r="AL6" s="66">
        <f t="shared" si="1"/>
        <v>0.72390883085724844</v>
      </c>
      <c r="AM6" s="66"/>
      <c r="AN6" s="66"/>
      <c r="AO6" s="55">
        <f>'31.12.2018'!AK6+'31.12.2018'!AL6</f>
        <v>1.7830554382433594</v>
      </c>
    </row>
    <row r="7" spans="1:41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11">I7*1.2</f>
        <v>0.95910406086235145</v>
      </c>
      <c r="N7" s="55">
        <f t="shared" si="11"/>
        <v>0.96185727023546108</v>
      </c>
      <c r="O7" s="55">
        <f t="shared" si="11"/>
        <v>1.3192409751053764</v>
      </c>
      <c r="P7" s="55">
        <f t="shared" si="11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4"/>
        <v>0</v>
      </c>
      <c r="AD7" s="53">
        <f t="shared" si="5"/>
        <v>0</v>
      </c>
      <c r="AE7" s="53">
        <f t="shared" si="6"/>
        <v>0</v>
      </c>
      <c r="AF7" s="53">
        <f t="shared" si="7"/>
        <v>0</v>
      </c>
      <c r="AG7" s="53">
        <f t="shared" si="8"/>
        <v>0.79925338405195956</v>
      </c>
      <c r="AH7" s="53">
        <f t="shared" si="9"/>
        <v>1.0993674792544803</v>
      </c>
      <c r="AI7" s="55">
        <f t="shared" si="10"/>
        <v>0.95910406086235145</v>
      </c>
      <c r="AJ7" s="55">
        <f t="shared" si="10"/>
        <v>1.3192409751053764</v>
      </c>
      <c r="AK7" s="55">
        <f t="shared" si="0"/>
        <v>0.79925338405195956</v>
      </c>
      <c r="AL7" s="55">
        <f t="shared" si="1"/>
        <v>1.0993674792544803</v>
      </c>
      <c r="AM7" s="55">
        <f t="shared" si="2"/>
        <v>0.80154772519621764</v>
      </c>
      <c r="AN7" s="55">
        <f t="shared" si="3"/>
        <v>1.6965011825839753</v>
      </c>
      <c r="AO7" s="55">
        <f>'31.12.2018'!AK7+'31.12.2018'!AL7</f>
        <v>2.8115811080969344</v>
      </c>
    </row>
    <row r="8" spans="1:41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11"/>
        <v>0.95910406086235145</v>
      </c>
      <c r="N8" s="55">
        <f t="shared" si="11"/>
        <v>0.96185727023546108</v>
      </c>
      <c r="O8" s="55">
        <f t="shared" si="11"/>
        <v>1.3192409751053764</v>
      </c>
      <c r="P8" s="55">
        <f t="shared" si="11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12">W8/B8</f>
        <v>0</v>
      </c>
      <c r="AD8" s="53">
        <f t="shared" ref="AD8" si="13">Z8/E8</f>
        <v>0</v>
      </c>
      <c r="AE8" s="53">
        <f t="shared" ref="AE8" si="14">(X8+Y8)/(C8+D8)</f>
        <v>0</v>
      </c>
      <c r="AF8" s="53">
        <f t="shared" ref="AF8" si="15">(AA8+AB8)/(F8+G8)</f>
        <v>0</v>
      </c>
      <c r="AG8" s="53">
        <f t="shared" ref="AG8" si="16">I8+AC8</f>
        <v>0.79925338405195956</v>
      </c>
      <c r="AH8" s="53">
        <f t="shared" ref="AH8" si="17">K8+AD8</f>
        <v>1.0993674792544803</v>
      </c>
      <c r="AI8" s="55">
        <f t="shared" ref="AI8" si="18">AG8*1.2</f>
        <v>0.95910406086235145</v>
      </c>
      <c r="AJ8" s="55">
        <f t="shared" ref="AJ8" si="19">AH8*1.2</f>
        <v>1.3192409751053764</v>
      </c>
      <c r="AK8" s="55">
        <f t="shared" ref="AK8" si="20">(Q8+W8)/B8</f>
        <v>0.79925338405195956</v>
      </c>
      <c r="AL8" s="55">
        <f t="shared" ref="AL8" si="21">(T8+Z8)/E8</f>
        <v>1.0993674792544803</v>
      </c>
      <c r="AM8" s="55">
        <f t="shared" ref="AM8" si="22">(R8+X8)/C8</f>
        <v>0.80154772519621764</v>
      </c>
      <c r="AN8" s="55">
        <f t="shared" ref="AN8" si="23">(U8+V8+AA8+AB8)/(F8+G8)</f>
        <v>1.6965011825839753</v>
      </c>
      <c r="AO8" s="55">
        <f>'31.12.2018'!AK8+'31.12.2018'!AL8</f>
        <v>3.4239576706239614</v>
      </c>
    </row>
    <row r="9" spans="1:41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4"/>
        <v>0</v>
      </c>
      <c r="AD9" s="53">
        <f t="shared" si="5"/>
        <v>0</v>
      </c>
      <c r="AE9" s="53">
        <f t="shared" si="6"/>
        <v>0</v>
      </c>
      <c r="AF9" s="53">
        <f t="shared" si="7"/>
        <v>0</v>
      </c>
      <c r="AG9" s="53">
        <f t="shared" si="8"/>
        <v>0.88</v>
      </c>
      <c r="AH9" s="53">
        <f t="shared" si="9"/>
        <v>1.3</v>
      </c>
      <c r="AI9" s="55">
        <f t="shared" si="10"/>
        <v>1.056</v>
      </c>
      <c r="AJ9" s="55">
        <f t="shared" si="10"/>
        <v>1.56</v>
      </c>
      <c r="AK9" s="55">
        <f t="shared" si="0"/>
        <v>0.88003251834997398</v>
      </c>
      <c r="AL9" s="55">
        <f t="shared" si="1"/>
        <v>1.2995790594155217</v>
      </c>
      <c r="AM9" s="55">
        <f t="shared" si="2"/>
        <v>1.0519376194565246</v>
      </c>
      <c r="AN9" s="55">
        <f t="shared" si="3"/>
        <v>1.5630771489392941</v>
      </c>
      <c r="AO9" s="55">
        <f>'31.12.2018'!AK9+'31.12.2018'!AL9</f>
        <v>3.9</v>
      </c>
    </row>
    <row r="10" spans="1:41" s="15" customFormat="1" x14ac:dyDescent="0.25">
      <c r="A10" s="61" t="s">
        <v>33</v>
      </c>
      <c r="B10" s="65">
        <v>12.874000000000001</v>
      </c>
      <c r="C10" s="65">
        <v>3.2320000000000002</v>
      </c>
      <c r="D10" s="65">
        <v>0</v>
      </c>
      <c r="E10" s="65">
        <v>12.874000000000001</v>
      </c>
      <c r="F10" s="65">
        <v>3.2320000000000002</v>
      </c>
      <c r="G10" s="65">
        <v>0</v>
      </c>
      <c r="H10" s="65">
        <v>44.454999999999998</v>
      </c>
      <c r="I10" s="65">
        <v>0.95</v>
      </c>
      <c r="J10" s="65">
        <v>0.95</v>
      </c>
      <c r="K10" s="65">
        <v>1.1299999999999999</v>
      </c>
      <c r="L10" s="65">
        <v>1.1299999999999999</v>
      </c>
      <c r="M10" s="65">
        <v>1.1399999999999999</v>
      </c>
      <c r="N10" s="65">
        <v>1.1399999999999999</v>
      </c>
      <c r="O10" s="65">
        <v>1.36</v>
      </c>
      <c r="P10" s="65">
        <v>1.36</v>
      </c>
      <c r="Q10" s="65">
        <v>9.3949999999999996</v>
      </c>
      <c r="R10" s="65">
        <v>2.911</v>
      </c>
      <c r="S10" s="65">
        <v>0</v>
      </c>
      <c r="T10" s="65">
        <v>15.593999999999999</v>
      </c>
      <c r="U10" s="65">
        <v>3.556</v>
      </c>
      <c r="V10" s="65">
        <v>9.2550000000000008</v>
      </c>
      <c r="W10" s="65"/>
      <c r="X10" s="65"/>
      <c r="Y10" s="65"/>
      <c r="Z10" s="65"/>
      <c r="AA10" s="65"/>
      <c r="AB10" s="65"/>
      <c r="AC10" s="65">
        <f t="shared" si="4"/>
        <v>0</v>
      </c>
      <c r="AD10" s="65">
        <f t="shared" si="5"/>
        <v>0</v>
      </c>
      <c r="AE10" s="65">
        <f t="shared" si="6"/>
        <v>0</v>
      </c>
      <c r="AF10" s="65">
        <f t="shared" si="7"/>
        <v>0</v>
      </c>
      <c r="AG10" s="53">
        <f t="shared" si="8"/>
        <v>0.95</v>
      </c>
      <c r="AH10" s="53">
        <f t="shared" si="9"/>
        <v>1.1299999999999999</v>
      </c>
      <c r="AI10" s="55">
        <f t="shared" si="10"/>
        <v>1.1399999999999999</v>
      </c>
      <c r="AJ10" s="55">
        <f t="shared" si="10"/>
        <v>1.3559999999999999</v>
      </c>
      <c r="AK10" s="66">
        <f t="shared" si="0"/>
        <v>0.72976541867329492</v>
      </c>
      <c r="AL10" s="66">
        <f t="shared" si="1"/>
        <v>1.2112785459064781</v>
      </c>
      <c r="AM10" s="66">
        <f t="shared" si="2"/>
        <v>0.90068069306930687</v>
      </c>
      <c r="AN10" s="66">
        <f t="shared" si="3"/>
        <v>3.9637995049504946</v>
      </c>
      <c r="AO10" s="55">
        <f>'31.12.2018'!AK10+'31.12.2018'!AL10</f>
        <v>2.4935999999999998</v>
      </c>
    </row>
    <row r="11" spans="1:41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4"/>
        <v>1.0967769959169489E-2</v>
      </c>
      <c r="AD11" s="53">
        <f t="shared" si="5"/>
        <v>0</v>
      </c>
      <c r="AE11" s="53">
        <f t="shared" si="6"/>
        <v>0.10334020974245813</v>
      </c>
      <c r="AF11" s="53">
        <f t="shared" si="7"/>
        <v>0</v>
      </c>
      <c r="AG11" s="53">
        <f t="shared" si="8"/>
        <v>0.62096776995916947</v>
      </c>
      <c r="AH11" s="53">
        <f t="shared" si="9"/>
        <v>0.8</v>
      </c>
      <c r="AI11" s="55">
        <f t="shared" si="10"/>
        <v>0.74516132395100332</v>
      </c>
      <c r="AJ11" s="55">
        <f t="shared" si="10"/>
        <v>0.96</v>
      </c>
      <c r="AK11" s="55">
        <f t="shared" si="0"/>
        <v>0.61889388411085056</v>
      </c>
      <c r="AL11" s="55">
        <f t="shared" si="1"/>
        <v>0.79558602983379723</v>
      </c>
      <c r="AM11" s="55">
        <f t="shared" si="2"/>
        <v>0.81573140314685566</v>
      </c>
      <c r="AN11" s="55">
        <f t="shared" si="3"/>
        <v>0.84199271802577591</v>
      </c>
      <c r="AO11" s="55">
        <f>'31.12.2018'!AK11+'31.12.2018'!AL11</f>
        <v>2.3315999999999999</v>
      </c>
    </row>
    <row r="12" spans="1:41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4"/>
        <v>0</v>
      </c>
      <c r="AD12" s="53">
        <f t="shared" si="5"/>
        <v>0</v>
      </c>
      <c r="AE12" s="53">
        <f t="shared" si="6"/>
        <v>0</v>
      </c>
      <c r="AF12" s="53">
        <f t="shared" si="7"/>
        <v>0</v>
      </c>
      <c r="AG12" s="53">
        <f t="shared" si="8"/>
        <v>0.98</v>
      </c>
      <c r="AH12" s="53">
        <f t="shared" si="9"/>
        <v>1.3</v>
      </c>
      <c r="AI12" s="55">
        <f t="shared" si="10"/>
        <v>1.1759999999999999</v>
      </c>
      <c r="AJ12" s="55">
        <f t="shared" si="10"/>
        <v>1.56</v>
      </c>
      <c r="AK12" s="55">
        <f t="shared" si="0"/>
        <v>0.97989817704056492</v>
      </c>
      <c r="AL12" s="55">
        <f t="shared" si="1"/>
        <v>1.299988393108823</v>
      </c>
      <c r="AM12" s="55">
        <f t="shared" si="2"/>
        <v>0.98074142916150364</v>
      </c>
      <c r="AN12" s="55">
        <f t="shared" si="3"/>
        <v>1.7523994811932551</v>
      </c>
      <c r="AO12" s="55">
        <f>'31.12.2018'!AK12+'31.12.2018'!AL12</f>
        <v>3.5256000000000003</v>
      </c>
    </row>
    <row r="13" spans="1:41" s="15" customFormat="1" x14ac:dyDescent="0.25">
      <c r="A13" s="61" t="s">
        <v>36</v>
      </c>
      <c r="B13" s="65">
        <v>36.872999999999998</v>
      </c>
      <c r="C13" s="65">
        <v>11.788</v>
      </c>
      <c r="D13" s="65">
        <v>0</v>
      </c>
      <c r="E13" s="65">
        <v>36.313000000000002</v>
      </c>
      <c r="F13" s="65">
        <v>7.87</v>
      </c>
      <c r="G13" s="65">
        <v>0</v>
      </c>
      <c r="H13" s="65"/>
      <c r="I13" s="65">
        <v>0.8</v>
      </c>
      <c r="J13" s="65">
        <v>0.8</v>
      </c>
      <c r="K13" s="65">
        <v>1.6</v>
      </c>
      <c r="L13" s="65">
        <v>1.6</v>
      </c>
      <c r="M13" s="65">
        <v>0.96</v>
      </c>
      <c r="N13" s="65">
        <v>0.96</v>
      </c>
      <c r="O13" s="65">
        <v>1.92</v>
      </c>
      <c r="P13" s="65">
        <v>1.92</v>
      </c>
      <c r="Q13" s="65">
        <v>25.811</v>
      </c>
      <c r="R13" s="65">
        <v>8.2520000000000007</v>
      </c>
      <c r="S13" s="65">
        <v>0</v>
      </c>
      <c r="T13" s="65">
        <v>53.38</v>
      </c>
      <c r="U13" s="65">
        <v>11.569000000000001</v>
      </c>
      <c r="V13" s="65"/>
      <c r="W13" s="65"/>
      <c r="X13" s="65"/>
      <c r="Y13" s="65"/>
      <c r="Z13" s="65"/>
      <c r="AA13" s="65"/>
      <c r="AB13" s="65"/>
      <c r="AC13" s="65">
        <f t="shared" si="4"/>
        <v>0</v>
      </c>
      <c r="AD13" s="65">
        <f t="shared" si="5"/>
        <v>0</v>
      </c>
      <c r="AE13" s="65">
        <f t="shared" si="6"/>
        <v>0</v>
      </c>
      <c r="AF13" s="65">
        <f t="shared" si="7"/>
        <v>0</v>
      </c>
      <c r="AG13" s="53">
        <f t="shared" si="8"/>
        <v>0.8</v>
      </c>
      <c r="AH13" s="53">
        <f t="shared" si="9"/>
        <v>1.6</v>
      </c>
      <c r="AI13" s="55">
        <f t="shared" si="10"/>
        <v>0.96</v>
      </c>
      <c r="AJ13" s="55">
        <f t="shared" si="10"/>
        <v>1.92</v>
      </c>
      <c r="AK13" s="66">
        <f t="shared" si="0"/>
        <v>0.69999728798850114</v>
      </c>
      <c r="AL13" s="66">
        <f t="shared" si="1"/>
        <v>1.4699969707818137</v>
      </c>
      <c r="AM13" s="66">
        <f t="shared" si="2"/>
        <v>0.70003393281303028</v>
      </c>
      <c r="AN13" s="66">
        <f t="shared" si="3"/>
        <v>1.470012706480305</v>
      </c>
      <c r="AO13" s="55">
        <f>'31.12.2018'!AK13+'31.12.2018'!AL13</f>
        <v>3.456</v>
      </c>
    </row>
    <row r="14" spans="1:41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4"/>
        <v>0</v>
      </c>
      <c r="AD14" s="53">
        <f t="shared" si="5"/>
        <v>0</v>
      </c>
      <c r="AE14" s="53">
        <f t="shared" si="6"/>
        <v>0</v>
      </c>
      <c r="AF14" s="53">
        <f t="shared" si="7"/>
        <v>0</v>
      </c>
      <c r="AG14" s="53">
        <f t="shared" si="8"/>
        <v>1.1499999999999999</v>
      </c>
      <c r="AH14" s="53">
        <f t="shared" si="9"/>
        <v>1.3</v>
      </c>
      <c r="AI14" s="55">
        <f t="shared" si="10"/>
        <v>1.38</v>
      </c>
      <c r="AJ14" s="55">
        <f t="shared" si="10"/>
        <v>1.56</v>
      </c>
      <c r="AK14" s="55">
        <f t="shared" si="0"/>
        <v>1.1520338946782789</v>
      </c>
      <c r="AL14" s="55">
        <f t="shared" si="1"/>
        <v>1.3016703656114941</v>
      </c>
      <c r="AM14" s="55">
        <f t="shared" si="2"/>
        <v>1.2099607267705321</v>
      </c>
      <c r="AN14" s="55">
        <f t="shared" si="3"/>
        <v>1.3286790266512165</v>
      </c>
      <c r="AO14" s="55">
        <f>'31.12.2018'!AK14+'31.12.2018'!AL14</f>
        <v>3.51</v>
      </c>
    </row>
    <row r="15" spans="1:41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5"/>
      <c r="AJ15" s="55"/>
      <c r="AK15" s="55"/>
      <c r="AL15" s="55"/>
      <c r="AM15" s="55"/>
      <c r="AN15" s="55"/>
      <c r="AO15" s="55">
        <f>'31.12.2018'!AK15+'31.12.2018'!AL15</f>
        <v>4.2780000000000005</v>
      </c>
    </row>
    <row r="16" spans="1:41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4"/>
        <v>0.11849604637715984</v>
      </c>
      <c r="AD16" s="53">
        <f t="shared" si="5"/>
        <v>0.11882713454940048</v>
      </c>
      <c r="AE16" s="53">
        <f t="shared" si="6"/>
        <v>7.8722718617255022E-2</v>
      </c>
      <c r="AF16" s="53">
        <f t="shared" si="7"/>
        <v>6.5533099571828804E-2</v>
      </c>
      <c r="AG16" s="53">
        <f t="shared" si="8"/>
        <v>0.99849604637715983</v>
      </c>
      <c r="AH16" s="53">
        <f t="shared" si="9"/>
        <v>1.0288271345494004</v>
      </c>
      <c r="AI16" s="55">
        <f t="shared" si="10"/>
        <v>1.1981952556525917</v>
      </c>
      <c r="AJ16" s="55">
        <f t="shared" si="10"/>
        <v>1.2345925614592805</v>
      </c>
      <c r="AK16" s="55">
        <f t="shared" si="0"/>
        <v>0.99849814896860367</v>
      </c>
      <c r="AL16" s="55">
        <f t="shared" si="1"/>
        <v>1.0288065780725819</v>
      </c>
      <c r="AM16" s="55">
        <f t="shared" si="2"/>
        <v>0.95872857770616671</v>
      </c>
      <c r="AN16" s="55">
        <f t="shared" si="3"/>
        <v>0.97554666713653904</v>
      </c>
      <c r="AO16" s="55">
        <f>'31.12.2018'!AK16+'31.12.2018'!AL16</f>
        <v>2.9880000000000004</v>
      </c>
    </row>
    <row r="17" spans="1:41" s="15" customFormat="1" x14ac:dyDescent="0.25">
      <c r="A17" s="61" t="s">
        <v>40</v>
      </c>
      <c r="B17" s="65">
        <v>48.48</v>
      </c>
      <c r="C17" s="65">
        <v>6.8789999999999996</v>
      </c>
      <c r="D17" s="65">
        <v>7.4999999999999997E-2</v>
      </c>
      <c r="E17" s="65">
        <v>46.804000000000002</v>
      </c>
      <c r="F17" s="65">
        <v>4.7789999999999999</v>
      </c>
      <c r="G17" s="65"/>
      <c r="H17" s="65"/>
      <c r="I17" s="65">
        <v>1.1399999999999999</v>
      </c>
      <c r="J17" s="65">
        <v>1.68</v>
      </c>
      <c r="K17" s="65">
        <v>1.68</v>
      </c>
      <c r="L17" s="65">
        <v>2.71</v>
      </c>
      <c r="M17" s="65">
        <v>1.3680000000000001</v>
      </c>
      <c r="N17" s="65">
        <v>2.016</v>
      </c>
      <c r="O17" s="65">
        <v>2.016</v>
      </c>
      <c r="P17" s="65">
        <v>3.2519999999999998</v>
      </c>
      <c r="Q17" s="65">
        <v>55.267000000000003</v>
      </c>
      <c r="R17" s="65">
        <v>11.557</v>
      </c>
      <c r="S17" s="65">
        <v>0.126</v>
      </c>
      <c r="T17" s="65">
        <v>78.631</v>
      </c>
      <c r="U17" s="65">
        <v>12.951000000000001</v>
      </c>
      <c r="V17" s="65">
        <v>0</v>
      </c>
      <c r="W17" s="65">
        <v>7.694</v>
      </c>
      <c r="X17" s="65">
        <v>0.33</v>
      </c>
      <c r="Y17" s="65">
        <v>1.9E-2</v>
      </c>
      <c r="Z17" s="65">
        <v>0</v>
      </c>
      <c r="AA17" s="65">
        <v>0</v>
      </c>
      <c r="AB17" s="65">
        <v>0</v>
      </c>
      <c r="AC17" s="65">
        <f t="shared" si="4"/>
        <v>0.15870462046204623</v>
      </c>
      <c r="AD17" s="65">
        <f t="shared" si="5"/>
        <v>0</v>
      </c>
      <c r="AE17" s="65">
        <f t="shared" si="6"/>
        <v>5.0186942766752951E-2</v>
      </c>
      <c r="AF17" s="65">
        <f t="shared" si="7"/>
        <v>0</v>
      </c>
      <c r="AG17" s="53">
        <f t="shared" si="8"/>
        <v>1.298704620462046</v>
      </c>
      <c r="AH17" s="53">
        <f t="shared" si="9"/>
        <v>1.68</v>
      </c>
      <c r="AI17" s="55">
        <f t="shared" si="10"/>
        <v>1.5584455445544552</v>
      </c>
      <c r="AJ17" s="55">
        <f t="shared" si="10"/>
        <v>2.016</v>
      </c>
      <c r="AK17" s="66">
        <f t="shared" si="0"/>
        <v>1.2987004950495051</v>
      </c>
      <c r="AL17" s="66">
        <f t="shared" si="1"/>
        <v>1.6800059823946671</v>
      </c>
      <c r="AM17" s="66">
        <f t="shared" si="2"/>
        <v>1.7280127925570579</v>
      </c>
      <c r="AN17" s="66">
        <f t="shared" si="3"/>
        <v>2.7099811676082863</v>
      </c>
      <c r="AO17" s="55">
        <f>'31.12.2018'!AK17+'31.12.2018'!AL17</f>
        <v>3.9341367154714169</v>
      </c>
    </row>
    <row r="18" spans="1:41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 s="53">
        <f t="shared" si="4"/>
        <v>6.9620980531868437E-2</v>
      </c>
      <c r="AD18" s="53">
        <f t="shared" si="5"/>
        <v>3.5452454816255349E-2</v>
      </c>
      <c r="AE18" s="53">
        <f t="shared" si="6"/>
        <v>6.6647452986526398E-2</v>
      </c>
      <c r="AF18" s="53">
        <f t="shared" si="7"/>
        <v>0</v>
      </c>
      <c r="AG18" s="53">
        <f t="shared" si="8"/>
        <v>1.0996209805318684</v>
      </c>
      <c r="AH18" s="53">
        <f t="shared" si="9"/>
        <v>1.0654524548162554</v>
      </c>
      <c r="AI18" s="55">
        <f t="shared" si="10"/>
        <v>1.319545176638242</v>
      </c>
      <c r="AJ18" s="55">
        <f t="shared" si="10"/>
        <v>1.2785429457795063</v>
      </c>
      <c r="AK18" s="55">
        <f t="shared" si="0"/>
        <v>0.51169926678465538</v>
      </c>
      <c r="AL18" s="55">
        <f t="shared" si="1"/>
        <v>1.0327977651216991</v>
      </c>
      <c r="AM18" s="55">
        <f t="shared" si="2"/>
        <v>0.87509244802366659</v>
      </c>
      <c r="AN18" s="55">
        <f t="shared" si="3"/>
        <v>0.79187448988845555</v>
      </c>
      <c r="AO18" s="55">
        <f>'31.12.2018'!AK18+'31.12.2018'!AL18</f>
        <v>3.8279999999999994</v>
      </c>
    </row>
    <row r="19" spans="1:41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4"/>
        <v>0</v>
      </c>
      <c r="AD19" s="53">
        <f t="shared" si="5"/>
        <v>0</v>
      </c>
      <c r="AE19" s="53">
        <f t="shared" si="6"/>
        <v>0</v>
      </c>
      <c r="AF19" s="53">
        <f t="shared" si="7"/>
        <v>0</v>
      </c>
      <c r="AG19" s="53">
        <f t="shared" si="8"/>
        <v>0.88</v>
      </c>
      <c r="AH19" s="53">
        <f t="shared" si="9"/>
        <v>1.64</v>
      </c>
      <c r="AI19" s="55">
        <f t="shared" si="10"/>
        <v>1.056</v>
      </c>
      <c r="AJ19" s="55">
        <f t="shared" si="10"/>
        <v>1.9679999999999997</v>
      </c>
      <c r="AK19" s="55">
        <f t="shared" si="0"/>
        <v>0.87942701671976364</v>
      </c>
      <c r="AL19" s="55">
        <f t="shared" si="1"/>
        <v>1.639238711141366</v>
      </c>
      <c r="AM19" s="55">
        <f t="shared" si="2"/>
        <v>1.0438565051643804</v>
      </c>
      <c r="AN19" s="55">
        <f t="shared" si="3"/>
        <v>1.8885325850953669</v>
      </c>
      <c r="AO19" s="55">
        <f>'31.12.2018'!AK19+'31.12.2018'!AL19</f>
        <v>4.3680000000000003</v>
      </c>
    </row>
    <row r="20" spans="1:41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>
        <f t="shared" si="8"/>
        <v>0</v>
      </c>
      <c r="AH20" s="53">
        <f t="shared" si="9"/>
        <v>0</v>
      </c>
      <c r="AI20" s="55">
        <f t="shared" si="10"/>
        <v>0</v>
      </c>
      <c r="AJ20" s="55">
        <f t="shared" si="10"/>
        <v>0</v>
      </c>
      <c r="AK20" s="55"/>
      <c r="AL20" s="55"/>
      <c r="AM20" s="55"/>
      <c r="AN20" s="55"/>
      <c r="AO20" s="55">
        <f>'31.12.2018'!AK20+'31.12.2018'!AL20</f>
        <v>3.1317410049739083</v>
      </c>
    </row>
    <row r="21" spans="1:41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4"/>
        <v>5.9174293350611491E-3</v>
      </c>
      <c r="AD21" s="53">
        <f t="shared" si="5"/>
        <v>5.889227873654812E-3</v>
      </c>
      <c r="AE21" s="53">
        <f t="shared" si="6"/>
        <v>1.4628205774898577E-3</v>
      </c>
      <c r="AF21" s="53">
        <f t="shared" si="7"/>
        <v>9.4609936746499425E-4</v>
      </c>
      <c r="AG21" s="53">
        <f t="shared" si="8"/>
        <v>0.88369138252207013</v>
      </c>
      <c r="AH21" s="53">
        <f t="shared" si="9"/>
        <v>1.6710127549342522</v>
      </c>
      <c r="AI21" s="55">
        <f t="shared" si="10"/>
        <v>1.0604296590264841</v>
      </c>
      <c r="AJ21" s="55">
        <f t="shared" si="10"/>
        <v>2.0052153059211024</v>
      </c>
      <c r="AK21" s="55">
        <f t="shared" si="0"/>
        <v>0.88369138252207025</v>
      </c>
      <c r="AL21" s="55">
        <f t="shared" si="1"/>
        <v>1.6710127549342522</v>
      </c>
      <c r="AM21" s="55">
        <f t="shared" si="2"/>
        <v>0.94171776930670958</v>
      </c>
      <c r="AN21" s="55">
        <f t="shared" si="3"/>
        <v>2.1638049413418394</v>
      </c>
      <c r="AO21" s="55">
        <f>'31.12.2018'!AK21+'31.12.2018'!AL21</f>
        <v>3.8159999999999998</v>
      </c>
    </row>
    <row r="22" spans="1:41" s="15" customFormat="1" x14ac:dyDescent="0.25">
      <c r="A22" s="61" t="s">
        <v>45</v>
      </c>
      <c r="B22" s="65">
        <v>27.053999999999998</v>
      </c>
      <c r="C22" s="65">
        <v>8.9260000000000002</v>
      </c>
      <c r="D22" s="65">
        <v>0</v>
      </c>
      <c r="E22" s="65">
        <v>24.202999999999999</v>
      </c>
      <c r="F22" s="65">
        <v>3.0680000000000001</v>
      </c>
      <c r="G22" s="65">
        <v>0</v>
      </c>
      <c r="H22" s="65"/>
      <c r="I22" s="65">
        <v>0.8</v>
      </c>
      <c r="J22" s="65">
        <v>0.8</v>
      </c>
      <c r="K22" s="65">
        <v>1.1399999999999999</v>
      </c>
      <c r="L22" s="65">
        <v>1.1399999999999999</v>
      </c>
      <c r="M22" s="65">
        <v>0.96</v>
      </c>
      <c r="N22" s="65">
        <v>0.96</v>
      </c>
      <c r="O22" s="65">
        <v>1.37</v>
      </c>
      <c r="P22" s="65">
        <v>1.37</v>
      </c>
      <c r="Q22" s="65">
        <v>20.622</v>
      </c>
      <c r="R22" s="65">
        <v>8.1769999999999996</v>
      </c>
      <c r="S22" s="65">
        <v>0</v>
      </c>
      <c r="T22" s="65">
        <v>26.148</v>
      </c>
      <c r="U22" s="65">
        <v>4.976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f t="shared" si="4"/>
        <v>0</v>
      </c>
      <c r="AD22" s="65">
        <f t="shared" si="5"/>
        <v>0</v>
      </c>
      <c r="AE22" s="65">
        <f t="shared" si="6"/>
        <v>0</v>
      </c>
      <c r="AF22" s="65">
        <f t="shared" si="7"/>
        <v>0</v>
      </c>
      <c r="AG22" s="53">
        <f t="shared" si="8"/>
        <v>0.8</v>
      </c>
      <c r="AH22" s="53">
        <f t="shared" si="9"/>
        <v>1.1399999999999999</v>
      </c>
      <c r="AI22" s="55">
        <f t="shared" si="10"/>
        <v>0.96</v>
      </c>
      <c r="AJ22" s="55">
        <f t="shared" si="10"/>
        <v>1.3679999999999999</v>
      </c>
      <c r="AK22" s="66">
        <f t="shared" si="0"/>
        <v>0.76225327123530717</v>
      </c>
      <c r="AL22" s="66">
        <f t="shared" si="1"/>
        <v>1.0803619386026526</v>
      </c>
      <c r="AM22" s="66">
        <f t="shared" si="2"/>
        <v>0.9160878332959892</v>
      </c>
      <c r="AN22" s="66">
        <f t="shared" si="3"/>
        <v>1.621903520208605</v>
      </c>
      <c r="AO22" s="55">
        <f>'31.12.2018'!AK22+'31.12.2018'!AL22</f>
        <v>3.6</v>
      </c>
    </row>
    <row r="23" spans="1:41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4"/>
        <v>0</v>
      </c>
      <c r="AD23" s="53">
        <f t="shared" si="5"/>
        <v>0</v>
      </c>
      <c r="AE23" s="53">
        <f t="shared" si="6"/>
        <v>0</v>
      </c>
      <c r="AF23" s="53">
        <f t="shared" si="7"/>
        <v>0</v>
      </c>
      <c r="AG23" s="53">
        <f t="shared" si="8"/>
        <v>1.1100000000000001</v>
      </c>
      <c r="AH23" s="53">
        <f t="shared" si="9"/>
        <v>1.42</v>
      </c>
      <c r="AI23" s="55">
        <f t="shared" si="10"/>
        <v>1.3320000000000001</v>
      </c>
      <c r="AJ23" s="55">
        <f t="shared" si="10"/>
        <v>1.704</v>
      </c>
      <c r="AK23" s="55">
        <f t="shared" si="0"/>
        <v>1.0845812438757276</v>
      </c>
      <c r="AL23" s="55">
        <f t="shared" si="1"/>
        <v>1.373533830622842</v>
      </c>
      <c r="AM23" s="55">
        <f t="shared" si="2"/>
        <v>1.080019864260884</v>
      </c>
      <c r="AN23" s="55">
        <f t="shared" si="3"/>
        <v>1.3716961563845502</v>
      </c>
      <c r="AO23" s="55">
        <f>'31.12.2018'!AK23+'31.12.2018'!AL23</f>
        <v>4.1496665493426397</v>
      </c>
    </row>
    <row r="24" spans="1:41" s="15" customFormat="1" x14ac:dyDescent="0.25">
      <c r="A24" s="61" t="s">
        <v>47</v>
      </c>
      <c r="B24" s="65">
        <v>65.808000000000007</v>
      </c>
      <c r="C24" s="65">
        <v>30.744</v>
      </c>
      <c r="D24" s="65">
        <v>0</v>
      </c>
      <c r="E24" s="65">
        <v>62.63</v>
      </c>
      <c r="F24" s="65">
        <v>20.655000000000001</v>
      </c>
      <c r="G24" s="65"/>
      <c r="H24" s="65"/>
      <c r="I24" s="65">
        <v>0.89</v>
      </c>
      <c r="J24" s="65">
        <v>1.28</v>
      </c>
      <c r="K24" s="65">
        <v>0.89</v>
      </c>
      <c r="L24" s="65">
        <v>1.28</v>
      </c>
      <c r="M24" s="65">
        <v>1.0680000000000001</v>
      </c>
      <c r="N24" s="65">
        <v>1.536</v>
      </c>
      <c r="O24" s="65">
        <v>1.0680000000000001</v>
      </c>
      <c r="P24" s="65">
        <v>1.536</v>
      </c>
      <c r="Q24" s="65">
        <v>58.569000000000003</v>
      </c>
      <c r="R24" s="65">
        <v>39.351999999999997</v>
      </c>
      <c r="S24" s="65">
        <v>0</v>
      </c>
      <c r="T24" s="65">
        <v>56.006</v>
      </c>
      <c r="U24" s="65">
        <v>30.353000000000002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f t="shared" si="4"/>
        <v>0</v>
      </c>
      <c r="AD24" s="65">
        <f t="shared" si="5"/>
        <v>0</v>
      </c>
      <c r="AE24" s="65">
        <f t="shared" si="6"/>
        <v>0</v>
      </c>
      <c r="AF24" s="65">
        <f t="shared" si="7"/>
        <v>0</v>
      </c>
      <c r="AG24" s="53">
        <f t="shared" si="8"/>
        <v>0.89</v>
      </c>
      <c r="AH24" s="53">
        <f t="shared" si="9"/>
        <v>0.89</v>
      </c>
      <c r="AI24" s="55">
        <f t="shared" si="10"/>
        <v>1.0680000000000001</v>
      </c>
      <c r="AJ24" s="55">
        <f t="shared" si="10"/>
        <v>1.0680000000000001</v>
      </c>
      <c r="AK24" s="66">
        <f t="shared" si="0"/>
        <v>0.88999817651349378</v>
      </c>
      <c r="AL24" s="66">
        <f t="shared" si="1"/>
        <v>0.8942359891425834</v>
      </c>
      <c r="AM24" s="66">
        <f t="shared" si="2"/>
        <v>1.2799895914650012</v>
      </c>
      <c r="AN24" s="66">
        <f t="shared" si="3"/>
        <v>1.469523117889131</v>
      </c>
      <c r="AO24" s="55">
        <f>'31.12.2018'!AK24+'31.12.2018'!AL24</f>
        <v>2.7</v>
      </c>
    </row>
    <row r="25" spans="1:41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4"/>
        <v>0</v>
      </c>
      <c r="AD25" s="53">
        <f t="shared" si="5"/>
        <v>0</v>
      </c>
      <c r="AE25" s="53">
        <f t="shared" si="6"/>
        <v>0</v>
      </c>
      <c r="AF25" s="53">
        <f t="shared" si="7"/>
        <v>0</v>
      </c>
      <c r="AG25" s="53">
        <f t="shared" si="8"/>
        <v>0.75</v>
      </c>
      <c r="AH25" s="53">
        <f t="shared" si="9"/>
        <v>1.24</v>
      </c>
      <c r="AI25" s="55">
        <f t="shared" si="10"/>
        <v>0.89999999999999991</v>
      </c>
      <c r="AJ25" s="55">
        <f t="shared" si="10"/>
        <v>1.488</v>
      </c>
      <c r="AK25" s="55">
        <f t="shared" si="0"/>
        <v>0.75615624673314896</v>
      </c>
      <c r="AL25" s="55">
        <f t="shared" si="1"/>
        <v>1.2315762399589876</v>
      </c>
      <c r="AM25" s="55">
        <f t="shared" si="2"/>
        <v>0.65771646125267458</v>
      </c>
      <c r="AN25" s="55">
        <f t="shared" si="3"/>
        <v>1.1102469659745284</v>
      </c>
      <c r="AO25" s="55">
        <f>'31.12.2018'!AK25+'31.12.2018'!AL25</f>
        <v>3.516</v>
      </c>
    </row>
    <row r="26" spans="1:41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4"/>
        <v>0</v>
      </c>
      <c r="AD26" s="53">
        <f t="shared" si="5"/>
        <v>0</v>
      </c>
      <c r="AE26" s="53">
        <f t="shared" si="6"/>
        <v>0</v>
      </c>
      <c r="AF26" s="53">
        <f t="shared" si="7"/>
        <v>0</v>
      </c>
      <c r="AG26" s="53">
        <f t="shared" si="8"/>
        <v>0.95</v>
      </c>
      <c r="AH26" s="53">
        <f t="shared" si="9"/>
        <v>1.2</v>
      </c>
      <c r="AI26" s="55">
        <f t="shared" si="10"/>
        <v>1.1399999999999999</v>
      </c>
      <c r="AJ26" s="55">
        <f t="shared" si="10"/>
        <v>1.44</v>
      </c>
      <c r="AK26" s="55">
        <f>(Q26+W26)/B26</f>
        <v>0.94997561885093085</v>
      </c>
      <c r="AL26" s="55">
        <f>(T26+Z26)/E26</f>
        <v>1.199990389697756</v>
      </c>
      <c r="AM26" s="55">
        <f>(R26+X26)/C26</f>
        <v>1.0500039249548629</v>
      </c>
      <c r="AN26" s="55">
        <f>(U26+V26+AA26+AB26)/(F26+G26)</f>
        <v>1.4598601909633748</v>
      </c>
      <c r="AO26" s="55">
        <f>'31.12.2018'!AK26+'31.12.2018'!AL26</f>
        <v>2.6760000000000002</v>
      </c>
    </row>
    <row r="27" spans="1:41" s="15" customFormat="1" x14ac:dyDescent="0.25">
      <c r="A27" s="64" t="s">
        <v>50</v>
      </c>
      <c r="B27" s="65">
        <v>86.088999999999999</v>
      </c>
      <c r="C27" s="65">
        <v>29.715</v>
      </c>
      <c r="D27" s="65">
        <v>1.278</v>
      </c>
      <c r="E27" s="65">
        <v>83.031999999999996</v>
      </c>
      <c r="F27" s="65">
        <v>161.767</v>
      </c>
      <c r="G27" s="65">
        <v>6.4000000000000001E-2</v>
      </c>
      <c r="H27" s="65"/>
      <c r="I27" s="65">
        <v>0.62</v>
      </c>
      <c r="J27" s="65">
        <v>0.9</v>
      </c>
      <c r="K27" s="65">
        <v>1.22</v>
      </c>
      <c r="L27" s="65">
        <v>1.38</v>
      </c>
      <c r="M27" s="65">
        <f>I27*1.2</f>
        <v>0.74399999999999999</v>
      </c>
      <c r="N27" s="65">
        <f>J27*1.2</f>
        <v>1.08</v>
      </c>
      <c r="O27" s="65">
        <f>K27*1.2</f>
        <v>1.464</v>
      </c>
      <c r="P27" s="65">
        <f>L27*1.2</f>
        <v>1.6559999999999999</v>
      </c>
      <c r="Q27" s="65">
        <v>53.636000000000003</v>
      </c>
      <c r="R27" s="65">
        <v>26.614999999999998</v>
      </c>
      <c r="S27" s="65">
        <v>1.1499999999999999</v>
      </c>
      <c r="T27" s="65">
        <v>100.179</v>
      </c>
      <c r="U27" s="65">
        <v>239.465</v>
      </c>
      <c r="V27" s="65">
        <v>8.7999999999999995E-2</v>
      </c>
      <c r="W27" s="65"/>
      <c r="X27" s="65"/>
      <c r="Y27" s="65"/>
      <c r="Z27" s="65"/>
      <c r="AA27" s="65"/>
      <c r="AB27" s="65"/>
      <c r="AC27" s="65">
        <f t="shared" si="4"/>
        <v>0</v>
      </c>
      <c r="AD27" s="65">
        <f t="shared" si="5"/>
        <v>0</v>
      </c>
      <c r="AE27" s="65">
        <f t="shared" si="6"/>
        <v>0</v>
      </c>
      <c r="AF27" s="65">
        <f t="shared" si="7"/>
        <v>0</v>
      </c>
      <c r="AG27" s="53">
        <f t="shared" si="8"/>
        <v>0.62</v>
      </c>
      <c r="AH27" s="53">
        <f t="shared" si="9"/>
        <v>1.22</v>
      </c>
      <c r="AI27" s="55">
        <f t="shared" si="10"/>
        <v>0.74399999999999999</v>
      </c>
      <c r="AJ27" s="55">
        <f t="shared" si="10"/>
        <v>1.464</v>
      </c>
      <c r="AK27" s="66">
        <f t="shared" ref="AK27:AK42" si="24">(Q27+W27)/B27</f>
        <v>0.62302965535666577</v>
      </c>
      <c r="AL27" s="66">
        <f t="shared" ref="AL27:AL42" si="25">(T27+Z27)/E27</f>
        <v>1.2065107428461317</v>
      </c>
      <c r="AM27" s="66">
        <f t="shared" ref="AM27:AM42" si="26">(R27+X27)/C27</f>
        <v>0.89567558472152109</v>
      </c>
      <c r="AN27" s="66">
        <f t="shared" ref="AN27:AN42" si="27">(U27+V27+AA27+AB27)/(F27+G27)</f>
        <v>1.4802664508036163</v>
      </c>
      <c r="AO27" s="55">
        <f>'31.12.2018'!AK27+'31.12.2018'!AL27</f>
        <v>2.82</v>
      </c>
    </row>
    <row r="28" spans="1:41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4"/>
        <v>0</v>
      </c>
      <c r="AD28" s="53">
        <f t="shared" si="5"/>
        <v>0</v>
      </c>
      <c r="AE28" s="53">
        <f t="shared" si="6"/>
        <v>0</v>
      </c>
      <c r="AF28" s="53">
        <f t="shared" si="7"/>
        <v>0</v>
      </c>
      <c r="AG28" s="53">
        <f t="shared" si="8"/>
        <v>0.76400000000000001</v>
      </c>
      <c r="AH28" s="53">
        <f t="shared" si="9"/>
        <v>0.64500000000000002</v>
      </c>
      <c r="AI28" s="55">
        <f t="shared" si="10"/>
        <v>0.91679999999999995</v>
      </c>
      <c r="AJ28" s="55">
        <f t="shared" si="10"/>
        <v>0.77400000000000002</v>
      </c>
      <c r="AK28" s="55">
        <f t="shared" si="24"/>
        <v>0.76399873769748139</v>
      </c>
      <c r="AL28" s="55">
        <f t="shared" si="25"/>
        <v>0.64499962748652739</v>
      </c>
      <c r="AM28" s="55">
        <f t="shared" si="26"/>
        <v>0.76400345399595515</v>
      </c>
      <c r="AN28" s="55">
        <f t="shared" si="27"/>
        <v>0.64499891706945289</v>
      </c>
      <c r="AO28" s="55">
        <f>'31.12.2018'!AK28+'31.12.2018'!AL28</f>
        <v>2.2799999999999998</v>
      </c>
    </row>
    <row r="29" spans="1:41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5"/>
      <c r="AJ29" s="55"/>
      <c r="AK29" s="55"/>
      <c r="AL29" s="55"/>
      <c r="AM29" s="55"/>
      <c r="AN29" s="55"/>
      <c r="AO29" s="55" t="e">
        <f>'31.12.2018'!AK29+'31.12.2018'!AL29</f>
        <v>#DIV/0!</v>
      </c>
    </row>
    <row r="30" spans="1:41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5"/>
      <c r="AJ30" s="55"/>
      <c r="AK30" s="55"/>
      <c r="AL30" s="55"/>
      <c r="AM30" s="55"/>
      <c r="AN30" s="55"/>
      <c r="AO30" s="55">
        <f>'31.12.2018'!AK30+'31.12.2018'!AL30</f>
        <v>2.7004685138539042</v>
      </c>
    </row>
    <row r="31" spans="1:41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4"/>
        <v>0</v>
      </c>
      <c r="AD31" s="53">
        <f t="shared" si="5"/>
        <v>0</v>
      </c>
      <c r="AE31" s="53">
        <f t="shared" si="6"/>
        <v>0</v>
      </c>
      <c r="AF31" s="53">
        <f t="shared" si="7"/>
        <v>0</v>
      </c>
      <c r="AG31" s="53">
        <f t="shared" si="8"/>
        <v>0.71</v>
      </c>
      <c r="AH31" s="53">
        <f t="shared" si="9"/>
        <v>0.94</v>
      </c>
      <c r="AI31" s="55">
        <f t="shared" si="10"/>
        <v>0.85199999999999998</v>
      </c>
      <c r="AJ31" s="55">
        <f t="shared" si="10"/>
        <v>1.1279999999999999</v>
      </c>
      <c r="AK31" s="55">
        <f t="shared" si="24"/>
        <v>0.72615968478812642</v>
      </c>
      <c r="AL31" s="55">
        <f t="shared" si="25"/>
        <v>0.91472088969194165</v>
      </c>
      <c r="AM31" s="55">
        <f t="shared" si="26"/>
        <v>0.71665866739007955</v>
      </c>
      <c r="AN31" s="55">
        <f t="shared" si="27"/>
        <v>0.93633352400462933</v>
      </c>
      <c r="AO31" s="55">
        <f>'31.12.2018'!AK31+'31.12.2018'!AL31</f>
        <v>3.0804</v>
      </c>
    </row>
    <row r="32" spans="1:41" s="15" customFormat="1" x14ac:dyDescent="0.25">
      <c r="A32" s="61" t="s">
        <v>55</v>
      </c>
      <c r="B32" s="65">
        <v>64.039000000000001</v>
      </c>
      <c r="C32" s="65">
        <v>43.48</v>
      </c>
      <c r="D32" s="65"/>
      <c r="E32" s="65">
        <v>50.304000000000002</v>
      </c>
      <c r="F32" s="65">
        <v>116.218</v>
      </c>
      <c r="G32" s="65"/>
      <c r="H32" s="65"/>
      <c r="I32" s="65">
        <v>1.1399999999999999</v>
      </c>
      <c r="J32" s="65">
        <v>1.29</v>
      </c>
      <c r="K32" s="65">
        <v>1.1399999999999999</v>
      </c>
      <c r="L32" s="65">
        <v>2</v>
      </c>
      <c r="M32" s="65">
        <v>1.3680000000000001</v>
      </c>
      <c r="N32" s="65">
        <v>1.548</v>
      </c>
      <c r="O32" s="65">
        <v>1.3680000000000001</v>
      </c>
      <c r="P32" s="65">
        <v>2.4</v>
      </c>
      <c r="Q32" s="65">
        <v>72.759</v>
      </c>
      <c r="R32" s="65">
        <v>56.183</v>
      </c>
      <c r="S32" s="65"/>
      <c r="T32" s="65">
        <v>57.56</v>
      </c>
      <c r="U32" s="65">
        <v>232.012</v>
      </c>
      <c r="V32" s="65"/>
      <c r="W32" s="65"/>
      <c r="X32" s="65"/>
      <c r="Y32" s="65"/>
      <c r="Z32" s="65"/>
      <c r="AA32" s="65"/>
      <c r="AB32" s="65"/>
      <c r="AC32" s="65">
        <v>0</v>
      </c>
      <c r="AD32" s="65">
        <v>0</v>
      </c>
      <c r="AE32" s="65">
        <v>0</v>
      </c>
      <c r="AF32" s="65">
        <v>0</v>
      </c>
      <c r="AG32" s="53">
        <f t="shared" si="8"/>
        <v>1.1399999999999999</v>
      </c>
      <c r="AH32" s="53">
        <f t="shared" si="9"/>
        <v>1.1399999999999999</v>
      </c>
      <c r="AI32" s="55">
        <f t="shared" si="10"/>
        <v>1.3679999999999999</v>
      </c>
      <c r="AJ32" s="55">
        <f t="shared" si="10"/>
        <v>1.3679999999999999</v>
      </c>
      <c r="AK32" s="66">
        <f t="shared" si="24"/>
        <v>1.1361670232202252</v>
      </c>
      <c r="AL32" s="66">
        <f t="shared" si="25"/>
        <v>1.1442430025445292</v>
      </c>
      <c r="AM32" s="66">
        <f t="shared" si="26"/>
        <v>1.2921573137074518</v>
      </c>
      <c r="AN32" s="66">
        <f t="shared" si="27"/>
        <v>1.9963516839043864</v>
      </c>
      <c r="AO32" s="55">
        <f>'31.12.2018'!AK32+'31.12.2018'!AL32</f>
        <v>2.1120000000000001</v>
      </c>
    </row>
    <row r="33" spans="1:41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4"/>
        <v>0</v>
      </c>
      <c r="AD33" s="53">
        <f t="shared" si="5"/>
        <v>0</v>
      </c>
      <c r="AE33" s="53">
        <f t="shared" si="6"/>
        <v>0</v>
      </c>
      <c r="AF33" s="53">
        <f t="shared" si="7"/>
        <v>0</v>
      </c>
      <c r="AG33" s="53">
        <f t="shared" si="8"/>
        <v>0.77</v>
      </c>
      <c r="AH33" s="53">
        <f t="shared" si="9"/>
        <v>0.59</v>
      </c>
      <c r="AI33" s="55">
        <f t="shared" si="10"/>
        <v>0.92399999999999993</v>
      </c>
      <c r="AJ33" s="55">
        <f t="shared" si="10"/>
        <v>0.70799999999999996</v>
      </c>
      <c r="AK33" s="55">
        <f t="shared" si="24"/>
        <v>0.76098776051466765</v>
      </c>
      <c r="AL33" s="55">
        <f t="shared" si="25"/>
        <v>0.58309961193879967</v>
      </c>
      <c r="AM33" s="55">
        <f t="shared" si="26"/>
        <v>0.89000139840581727</v>
      </c>
      <c r="AN33" s="55">
        <f t="shared" si="27"/>
        <v>0.85747002559612018</v>
      </c>
      <c r="AO33" s="55">
        <f>'31.12.2018'!AK33+'31.12.2018'!AL33</f>
        <v>3.3719999999999999</v>
      </c>
    </row>
    <row r="34" spans="1:41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4"/>
        <v>0</v>
      </c>
      <c r="AD34" s="53">
        <f t="shared" si="5"/>
        <v>0</v>
      </c>
      <c r="AE34" s="53">
        <f t="shared" si="6"/>
        <v>0</v>
      </c>
      <c r="AF34" s="53">
        <f t="shared" si="7"/>
        <v>0</v>
      </c>
      <c r="AG34" s="53">
        <f t="shared" si="8"/>
        <v>0.89</v>
      </c>
      <c r="AH34" s="53">
        <f t="shared" si="9"/>
        <v>1.32</v>
      </c>
      <c r="AI34" s="55">
        <f t="shared" si="10"/>
        <v>1.0680000000000001</v>
      </c>
      <c r="AJ34" s="55">
        <f t="shared" si="10"/>
        <v>1.5840000000000001</v>
      </c>
      <c r="AK34" s="55">
        <f t="shared" si="24"/>
        <v>0.91588165515316444</v>
      </c>
      <c r="AL34" s="55">
        <f t="shared" si="25"/>
        <v>1.3636522205823158</v>
      </c>
      <c r="AM34" s="55">
        <f t="shared" si="26"/>
        <v>1.540762331838565</v>
      </c>
      <c r="AN34" s="55">
        <f t="shared" si="27"/>
        <v>2.2919541323690349</v>
      </c>
      <c r="AO34" s="55">
        <f>'31.12.2018'!AK34+'31.12.2018'!AL34</f>
        <v>2.0759999999999996</v>
      </c>
    </row>
    <row r="35" spans="1:41" s="15" customFormat="1" x14ac:dyDescent="0.25">
      <c r="A35" s="61" t="s">
        <v>58</v>
      </c>
      <c r="B35" s="65">
        <v>6860</v>
      </c>
      <c r="C35" s="65">
        <v>2735</v>
      </c>
      <c r="D35" s="65">
        <v>0</v>
      </c>
      <c r="E35" s="65">
        <v>6832</v>
      </c>
      <c r="F35" s="65">
        <v>5116</v>
      </c>
      <c r="G35" s="65">
        <v>0</v>
      </c>
      <c r="H35" s="65">
        <v>10903</v>
      </c>
      <c r="I35" s="65">
        <v>0.95</v>
      </c>
      <c r="J35" s="65">
        <v>2.3199999999999998</v>
      </c>
      <c r="K35" s="65">
        <v>0.78</v>
      </c>
      <c r="L35" s="65">
        <v>1.72</v>
      </c>
      <c r="M35" s="65">
        <v>1.1399999999999999</v>
      </c>
      <c r="N35" s="65">
        <v>2.78</v>
      </c>
      <c r="O35" s="65">
        <v>0.94</v>
      </c>
      <c r="P35" s="65">
        <v>2.06</v>
      </c>
      <c r="Q35" s="65">
        <v>6517</v>
      </c>
      <c r="R35" s="65">
        <v>5806</v>
      </c>
      <c r="S35" s="65">
        <v>0</v>
      </c>
      <c r="T35" s="65">
        <v>5329</v>
      </c>
      <c r="U35" s="65">
        <v>7493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f t="shared" si="4"/>
        <v>0</v>
      </c>
      <c r="AD35" s="65">
        <f t="shared" si="5"/>
        <v>0</v>
      </c>
      <c r="AE35" s="65">
        <f t="shared" si="6"/>
        <v>0</v>
      </c>
      <c r="AF35" s="65">
        <f t="shared" si="7"/>
        <v>0</v>
      </c>
      <c r="AG35" s="53">
        <f t="shared" si="8"/>
        <v>0.95</v>
      </c>
      <c r="AH35" s="53">
        <f t="shared" si="9"/>
        <v>0.78</v>
      </c>
      <c r="AI35" s="55">
        <f t="shared" si="10"/>
        <v>1.1399999999999999</v>
      </c>
      <c r="AJ35" s="55">
        <f t="shared" si="10"/>
        <v>0.93599999999999994</v>
      </c>
      <c r="AK35" s="66">
        <f t="shared" si="24"/>
        <v>0.95</v>
      </c>
      <c r="AL35" s="66">
        <f t="shared" si="25"/>
        <v>0.78000585480093676</v>
      </c>
      <c r="AM35" s="66">
        <f t="shared" si="26"/>
        <v>2.122851919561243</v>
      </c>
      <c r="AN35" s="66">
        <f t="shared" si="27"/>
        <v>1.4646207974980454</v>
      </c>
      <c r="AO35" s="55">
        <f>'31.12.2018'!AK35+'31.12.2018'!AL35</f>
        <v>2.496</v>
      </c>
    </row>
    <row r="36" spans="1:41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4"/>
        <v>0</v>
      </c>
      <c r="AD36" s="53">
        <f t="shared" si="5"/>
        <v>0</v>
      </c>
      <c r="AE36" s="53">
        <f t="shared" si="6"/>
        <v>0</v>
      </c>
      <c r="AF36" s="53">
        <f t="shared" si="7"/>
        <v>0</v>
      </c>
      <c r="AG36" s="53">
        <f t="shared" si="8"/>
        <v>0.89</v>
      </c>
      <c r="AH36" s="53">
        <f t="shared" si="9"/>
        <v>1.1299999999999999</v>
      </c>
      <c r="AI36" s="55">
        <f t="shared" si="10"/>
        <v>1.0680000000000001</v>
      </c>
      <c r="AJ36" s="55">
        <f t="shared" si="10"/>
        <v>1.3559999999999999</v>
      </c>
      <c r="AK36" s="55">
        <f t="shared" si="24"/>
        <v>0.89198693402935159</v>
      </c>
      <c r="AL36" s="55">
        <f t="shared" si="25"/>
        <v>1.125046284051838</v>
      </c>
      <c r="AM36" s="55">
        <f t="shared" si="26"/>
        <v>1.0499937382592361</v>
      </c>
      <c r="AN36" s="55">
        <f t="shared" si="27"/>
        <v>1.3250159948816378</v>
      </c>
      <c r="AO36" s="55">
        <f>'31.12.2018'!AK36+'31.12.2018'!AL36</f>
        <v>2.0352000000000001</v>
      </c>
    </row>
    <row r="37" spans="1:41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4"/>
        <v>0</v>
      </c>
      <c r="AD37" s="53">
        <f t="shared" si="5"/>
        <v>0</v>
      </c>
      <c r="AE37" s="53">
        <f t="shared" si="6"/>
        <v>0</v>
      </c>
      <c r="AF37" s="53">
        <f t="shared" si="7"/>
        <v>0</v>
      </c>
      <c r="AG37" s="53">
        <f t="shared" si="8"/>
        <v>0.57999999999999996</v>
      </c>
      <c r="AH37" s="53">
        <f t="shared" si="9"/>
        <v>1</v>
      </c>
      <c r="AI37" s="55">
        <f t="shared" si="10"/>
        <v>0.69599999999999995</v>
      </c>
      <c r="AJ37" s="55">
        <f t="shared" si="10"/>
        <v>1.2</v>
      </c>
      <c r="AK37" s="55">
        <f t="shared" si="24"/>
        <v>0.58041581642691309</v>
      </c>
      <c r="AL37" s="55">
        <f t="shared" si="25"/>
        <v>1.0000077174352295</v>
      </c>
      <c r="AM37" s="55">
        <f t="shared" si="26"/>
        <v>0.58043368497948133</v>
      </c>
      <c r="AN37" s="55">
        <f t="shared" si="27"/>
        <v>1.3255250168251249</v>
      </c>
      <c r="AO37" s="55">
        <f>'31.12.2018'!AK37+'31.12.2018'!AL37</f>
        <v>3.8810427737466915</v>
      </c>
    </row>
    <row r="38" spans="1:41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4"/>
        <v>0</v>
      </c>
      <c r="AD38" s="53">
        <f t="shared" si="5"/>
        <v>0</v>
      </c>
      <c r="AE38" s="53">
        <f t="shared" si="6"/>
        <v>0</v>
      </c>
      <c r="AF38" s="53">
        <f t="shared" si="7"/>
        <v>0</v>
      </c>
      <c r="AG38" s="53">
        <f t="shared" si="8"/>
        <v>0.80400000000000005</v>
      </c>
      <c r="AH38" s="53">
        <f t="shared" si="9"/>
        <v>0.90300000000000002</v>
      </c>
      <c r="AI38" s="55">
        <f t="shared" si="10"/>
        <v>0.96479999999999999</v>
      </c>
      <c r="AJ38" s="55">
        <f t="shared" si="10"/>
        <v>1.0835999999999999</v>
      </c>
      <c r="AK38" s="55">
        <f t="shared" si="24"/>
        <v>0.79768577372009708</v>
      </c>
      <c r="AL38" s="55">
        <f t="shared" si="25"/>
        <v>0.90181023221093604</v>
      </c>
      <c r="AM38" s="55">
        <f t="shared" si="26"/>
        <v>0.95315272684254126</v>
      </c>
      <c r="AN38" s="55">
        <f t="shared" si="27"/>
        <v>1.0535346012832263</v>
      </c>
      <c r="AO38" s="55">
        <f>'31.12.2018'!AK38+'31.12.2018'!AL38</f>
        <v>2.9939999999999998</v>
      </c>
    </row>
    <row r="39" spans="1:41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4"/>
        <v>0</v>
      </c>
      <c r="AD39" s="53">
        <f t="shared" si="5"/>
        <v>0</v>
      </c>
      <c r="AE39" s="53">
        <f t="shared" si="6"/>
        <v>0</v>
      </c>
      <c r="AF39" s="53">
        <f t="shared" si="7"/>
        <v>0</v>
      </c>
      <c r="AG39" s="53">
        <f t="shared" si="8"/>
        <v>1.01</v>
      </c>
      <c r="AH39" s="53">
        <f t="shared" si="9"/>
        <v>1.18</v>
      </c>
      <c r="AI39" s="55">
        <f t="shared" si="10"/>
        <v>1.212</v>
      </c>
      <c r="AJ39" s="55">
        <f t="shared" si="10"/>
        <v>1.4159999999999999</v>
      </c>
      <c r="AK39" s="55">
        <f t="shared" si="24"/>
        <v>1.0076549220165065</v>
      </c>
      <c r="AL39" s="55">
        <f t="shared" si="25"/>
        <v>1.1770239741039215</v>
      </c>
      <c r="AM39" s="55">
        <f t="shared" si="26"/>
        <v>1.0085282298863867</v>
      </c>
      <c r="AN39" s="55">
        <f t="shared" si="27"/>
        <v>1.1675336016402156</v>
      </c>
      <c r="AO39" s="55">
        <f>'31.12.2018'!AK39+'31.12.2018'!AL39</f>
        <v>3.1368</v>
      </c>
    </row>
    <row r="40" spans="1:41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28">W40/B40</f>
        <v>0</v>
      </c>
      <c r="AD40" s="53">
        <f t="shared" ref="AD40" si="29">Z40/E40</f>
        <v>0</v>
      </c>
      <c r="AE40" s="53">
        <f t="shared" ref="AE40" si="30">(X40+Y40)/(C40+D40)</f>
        <v>0</v>
      </c>
      <c r="AF40" s="53">
        <f t="shared" ref="AF40" si="31">(AA40+AB40)/(F40+G40)</f>
        <v>0</v>
      </c>
      <c r="AG40" s="53">
        <f t="shared" ref="AG40" si="32">I40+AC40</f>
        <v>0.77</v>
      </c>
      <c r="AH40" s="53">
        <f t="shared" ref="AH40" si="33">K40+AD40</f>
        <v>0.95</v>
      </c>
      <c r="AI40" s="55">
        <f t="shared" ref="AI40" si="34">AG40*1.2</f>
        <v>0.92399999999999993</v>
      </c>
      <c r="AJ40" s="55">
        <f t="shared" ref="AJ40" si="35">AH40*1.2</f>
        <v>1.1399999999999999</v>
      </c>
      <c r="AK40" s="55">
        <f t="shared" ref="AK40" si="36">(Q40+W40)/B40</f>
        <v>0.7730582524271844</v>
      </c>
      <c r="AL40" s="55">
        <f t="shared" ref="AL40" si="37">(T40+Z40)/E40</f>
        <v>0.9519913367825773</v>
      </c>
      <c r="AM40" s="55">
        <f t="shared" ref="AM40" si="38">(R40+X40)/C40</f>
        <v>0.77325056433408579</v>
      </c>
      <c r="AN40" s="55">
        <f t="shared" ref="AN40" si="39">(U40+V40+AA40+AB40)/(F40+G40)</f>
        <v>0.97857675111773468</v>
      </c>
      <c r="AO40" s="55">
        <f>'31.12.2018'!AK40+'31.12.2018'!AL40</f>
        <v>3.3528000000000002</v>
      </c>
    </row>
    <row r="41" spans="1:41" s="15" customFormat="1" x14ac:dyDescent="0.25">
      <c r="A41" s="61" t="s">
        <v>64</v>
      </c>
      <c r="B41" s="65">
        <v>274.10300000000001</v>
      </c>
      <c r="C41" s="65">
        <v>56.46</v>
      </c>
      <c r="D41" s="65">
        <v>0</v>
      </c>
      <c r="E41" s="65">
        <v>267.08100000000002</v>
      </c>
      <c r="F41" s="65">
        <v>65.215000000000003</v>
      </c>
      <c r="G41" s="65">
        <v>0</v>
      </c>
      <c r="H41" s="65"/>
      <c r="I41" s="65">
        <v>1.25</v>
      </c>
      <c r="J41" s="65">
        <v>1.47</v>
      </c>
      <c r="K41" s="65">
        <v>1.95</v>
      </c>
      <c r="L41" s="65">
        <v>2.2000000000000002</v>
      </c>
      <c r="M41" s="65">
        <v>1.5</v>
      </c>
      <c r="N41" s="65">
        <v>1.76</v>
      </c>
      <c r="O41" s="65">
        <v>2.34</v>
      </c>
      <c r="P41" s="65">
        <v>2.64</v>
      </c>
      <c r="Q41" s="65">
        <v>343.35399999999998</v>
      </c>
      <c r="R41" s="65">
        <v>92.013000000000005</v>
      </c>
      <c r="S41" s="65">
        <v>0</v>
      </c>
      <c r="T41" s="65">
        <v>495.00299999999999</v>
      </c>
      <c r="U41" s="65">
        <v>120.42400000000001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f t="shared" si="4"/>
        <v>0</v>
      </c>
      <c r="AD41" s="65">
        <f t="shared" si="5"/>
        <v>0</v>
      </c>
      <c r="AE41" s="65">
        <f t="shared" si="6"/>
        <v>0</v>
      </c>
      <c r="AF41" s="65">
        <f t="shared" si="7"/>
        <v>0</v>
      </c>
      <c r="AG41" s="53">
        <f t="shared" si="8"/>
        <v>1.25</v>
      </c>
      <c r="AH41" s="53">
        <f t="shared" si="9"/>
        <v>1.95</v>
      </c>
      <c r="AI41" s="55">
        <f t="shared" si="10"/>
        <v>1.5</v>
      </c>
      <c r="AJ41" s="55">
        <f t="shared" si="10"/>
        <v>2.34</v>
      </c>
      <c r="AK41" s="66">
        <f t="shared" si="24"/>
        <v>1.2526459031823802</v>
      </c>
      <c r="AL41" s="66">
        <f t="shared" si="25"/>
        <v>1.8533815584036302</v>
      </c>
      <c r="AM41" s="66">
        <f t="shared" si="26"/>
        <v>1.629702444208289</v>
      </c>
      <c r="AN41" s="66">
        <f t="shared" si="27"/>
        <v>1.8465690408648316</v>
      </c>
      <c r="AO41" s="55">
        <f>'31.12.2018'!AK41+'31.12.2018'!AL41</f>
        <v>3.84</v>
      </c>
    </row>
    <row r="42" spans="1:41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4"/>
        <v>0</v>
      </c>
      <c r="AD42" s="53">
        <f t="shared" si="5"/>
        <v>0</v>
      </c>
      <c r="AE42" s="53">
        <f t="shared" si="6"/>
        <v>0</v>
      </c>
      <c r="AF42" s="53">
        <f t="shared" si="7"/>
        <v>0</v>
      </c>
      <c r="AG42" s="53">
        <f t="shared" si="8"/>
        <v>0.77</v>
      </c>
      <c r="AH42" s="53">
        <f t="shared" si="9"/>
        <v>0.99</v>
      </c>
      <c r="AI42" s="55">
        <f t="shared" si="10"/>
        <v>0.92399999999999993</v>
      </c>
      <c r="AJ42" s="55">
        <f t="shared" si="10"/>
        <v>1.1879999999999999</v>
      </c>
      <c r="AK42" s="55">
        <f t="shared" si="24"/>
        <v>0.75755637294098832</v>
      </c>
      <c r="AL42" s="55">
        <f t="shared" si="25"/>
        <v>0.97603269856618735</v>
      </c>
      <c r="AM42" s="55">
        <f t="shared" si="26"/>
        <v>0.76044728434504794</v>
      </c>
      <c r="AN42" s="55">
        <f t="shared" si="27"/>
        <v>1.2926315444776151</v>
      </c>
      <c r="AO42" s="55">
        <f>'31.12.2018'!AK42+'31.12.2018'!AL42</f>
        <v>2.2199999999999998</v>
      </c>
    </row>
    <row r="43" spans="1:41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40">W43/B43</f>
        <v>0</v>
      </c>
      <c r="AD43" s="53">
        <f t="shared" ref="AD43" si="41">Z43/E43</f>
        <v>0</v>
      </c>
      <c r="AE43" s="53">
        <f t="shared" ref="AE43" si="42">(X43+Y43)/(C43+D43)</f>
        <v>0</v>
      </c>
      <c r="AF43" s="53">
        <f t="shared" ref="AF43" si="43">(AA43+AB43)/(F43+G43)</f>
        <v>0</v>
      </c>
      <c r="AG43" s="53">
        <f t="shared" ref="AG43" si="44">I43+AC43</f>
        <v>0.77</v>
      </c>
      <c r="AH43" s="53">
        <f t="shared" ref="AH43" si="45">K43+AD43</f>
        <v>0.99</v>
      </c>
      <c r="AI43" s="55">
        <f t="shared" ref="AI43" si="46">AG43*1.2</f>
        <v>0.92399999999999993</v>
      </c>
      <c r="AJ43" s="55">
        <f t="shared" ref="AJ43" si="47">AH43*1.2</f>
        <v>1.1879999999999999</v>
      </c>
      <c r="AK43" s="55">
        <f t="shared" ref="AK43" si="48">(Q43+W43)/B43</f>
        <v>0.75755637294098832</v>
      </c>
      <c r="AL43" s="55">
        <f t="shared" ref="AL43" si="49">(T43+Z43)/E43</f>
        <v>0.97603269856618735</v>
      </c>
      <c r="AM43" s="55">
        <f t="shared" ref="AM43" si="50">(R43+X43)/C43</f>
        <v>0.76044728434504794</v>
      </c>
      <c r="AN43" s="55">
        <f t="shared" ref="AN43" si="51">(U43+V43+AA43+AB43)/(F43+G43)</f>
        <v>1.2926315444776151</v>
      </c>
      <c r="AO43" s="55">
        <f>'31.12.2018'!AK43+'31.12.2018'!AL43</f>
        <v>3</v>
      </c>
    </row>
    <row r="44" spans="1:41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52">W44/B44</f>
        <v>0</v>
      </c>
      <c r="AD44" s="53">
        <f t="shared" ref="AD44" si="53">Z44/E44</f>
        <v>0</v>
      </c>
      <c r="AE44" s="53">
        <f t="shared" ref="AE44" si="54">(X44+Y44)/(C44+D44)</f>
        <v>0</v>
      </c>
      <c r="AF44" s="53">
        <f t="shared" ref="AF44" si="55">(AA44+AB44)/(F44+G44)</f>
        <v>0</v>
      </c>
      <c r="AG44" s="53">
        <f t="shared" ref="AG44" si="56">I44+AC44</f>
        <v>0.77</v>
      </c>
      <c r="AH44" s="53">
        <f t="shared" ref="AH44" si="57">K44+AD44</f>
        <v>0.99</v>
      </c>
      <c r="AI44" s="55">
        <f t="shared" ref="AI44" si="58">AG44*1.2</f>
        <v>0.92399999999999993</v>
      </c>
      <c r="AJ44" s="55">
        <f t="shared" ref="AJ44" si="59">AH44*1.2</f>
        <v>1.1879999999999999</v>
      </c>
      <c r="AK44" s="55">
        <f t="shared" ref="AK44" si="60">(Q44+W44)/B44</f>
        <v>0.75755637294098832</v>
      </c>
      <c r="AL44" s="55">
        <f t="shared" ref="AL44" si="61">(T44+Z44)/E44</f>
        <v>0.97603269856618735</v>
      </c>
      <c r="AM44" s="55">
        <f t="shared" ref="AM44" si="62">(R44+X44)/C44</f>
        <v>0.76044728434504794</v>
      </c>
      <c r="AN44" s="55">
        <f t="shared" ref="AN44" si="63">(U44+V44+AA44+AB44)/(F44+G44)</f>
        <v>1.2926315444776151</v>
      </c>
      <c r="AO44" s="55">
        <f>'31.12.2018'!AK44+'31.12.2018'!AL44</f>
        <v>3.024</v>
      </c>
    </row>
    <row r="45" spans="1:41" x14ac:dyDescent="0.25">
      <c r="AO45" s="6"/>
    </row>
    <row r="46" spans="1:41" x14ac:dyDescent="0.25">
      <c r="A46" s="4" t="s">
        <v>68</v>
      </c>
    </row>
    <row r="47" spans="1:41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7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L45" sqref="L45"/>
    </sheetView>
  </sheetViews>
  <sheetFormatPr defaultRowHeight="15" x14ac:dyDescent="0.25"/>
  <cols>
    <col min="1" max="1" width="25.42578125" style="4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70</v>
      </c>
      <c r="AE1" t="s">
        <v>70</v>
      </c>
      <c r="AG1" t="s">
        <v>3</v>
      </c>
    </row>
    <row r="2" spans="1:36" x14ac:dyDescent="0.25">
      <c r="A2" s="2"/>
      <c r="B2" s="83" t="s">
        <v>6</v>
      </c>
      <c r="C2" s="84"/>
      <c r="D2" s="85"/>
      <c r="E2" s="83" t="s">
        <v>7</v>
      </c>
      <c r="F2" s="84"/>
      <c r="G2" s="84"/>
      <c r="H2" s="46"/>
      <c r="J2" s="45" t="s">
        <v>8</v>
      </c>
      <c r="L2" s="53" t="s">
        <v>9</v>
      </c>
      <c r="M2" s="44" t="s">
        <v>10</v>
      </c>
      <c r="N2" s="46"/>
      <c r="O2" s="44" t="s">
        <v>11</v>
      </c>
      <c r="P2" s="46"/>
      <c r="Q2" s="44" t="s">
        <v>12</v>
      </c>
      <c r="R2" s="45"/>
      <c r="S2" s="46"/>
      <c r="T2" s="44" t="s">
        <v>13</v>
      </c>
      <c r="U2" s="45"/>
      <c r="V2" s="46"/>
      <c r="W2" s="44" t="s">
        <v>14</v>
      </c>
      <c r="X2" s="45"/>
      <c r="Y2" s="46"/>
      <c r="Z2" s="86" t="s">
        <v>15</v>
      </c>
      <c r="AA2" s="87"/>
      <c r="AB2" s="88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>
        <f>'31.12.2018'!A3</f>
        <v>43465</v>
      </c>
      <c r="B3" s="53" t="s">
        <v>19</v>
      </c>
      <c r="C3" s="53" t="s">
        <v>20</v>
      </c>
      <c r="D3" s="53" t="s">
        <v>21</v>
      </c>
      <c r="E3" s="1" t="s">
        <v>19</v>
      </c>
      <c r="F3" s="1" t="s">
        <v>22</v>
      </c>
      <c r="G3" s="1" t="s">
        <v>21</v>
      </c>
      <c r="H3" s="1" t="s">
        <v>23</v>
      </c>
      <c r="I3" s="53" t="s">
        <v>19</v>
      </c>
      <c r="J3" s="53" t="s">
        <v>20</v>
      </c>
      <c r="K3" s="53" t="s">
        <v>19</v>
      </c>
      <c r="L3" s="53" t="s">
        <v>20</v>
      </c>
      <c r="M3" s="53" t="s">
        <v>19</v>
      </c>
      <c r="N3" s="53" t="s">
        <v>20</v>
      </c>
      <c r="O3" s="53" t="s">
        <v>19</v>
      </c>
      <c r="P3" s="53" t="s">
        <v>20</v>
      </c>
      <c r="Q3" s="53" t="s">
        <v>19</v>
      </c>
      <c r="R3" s="53" t="s">
        <v>20</v>
      </c>
      <c r="S3" s="53" t="s">
        <v>24</v>
      </c>
      <c r="T3" s="53" t="s">
        <v>19</v>
      </c>
      <c r="U3" s="53" t="s">
        <v>20</v>
      </c>
      <c r="V3" s="53" t="s">
        <v>24</v>
      </c>
      <c r="W3" s="53" t="s">
        <v>19</v>
      </c>
      <c r="X3" s="53" t="s">
        <v>20</v>
      </c>
      <c r="Y3" s="53" t="s">
        <v>24</v>
      </c>
      <c r="Z3" s="53" t="s">
        <v>19</v>
      </c>
      <c r="AA3" s="53" t="s">
        <v>20</v>
      </c>
      <c r="AB3" s="53" t="s">
        <v>24</v>
      </c>
      <c r="AC3" s="5" t="s">
        <v>25</v>
      </c>
      <c r="AD3" s="5" t="s">
        <v>26</v>
      </c>
      <c r="AE3" s="5" t="s">
        <v>25</v>
      </c>
      <c r="AF3" s="5" t="s">
        <v>26</v>
      </c>
      <c r="AG3" s="5" t="s">
        <v>25</v>
      </c>
      <c r="AH3" s="5" t="s">
        <v>26</v>
      </c>
      <c r="AI3" s="5" t="s">
        <v>25</v>
      </c>
      <c r="AJ3" s="5" t="s">
        <v>26</v>
      </c>
    </row>
    <row r="4" spans="1:36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4">
        <f>'31.12.2018'!L4</f>
        <v>1.3169999999999999</v>
      </c>
      <c r="K4" s="54">
        <v>2.1800000000000002</v>
      </c>
      <c r="L4" s="54">
        <f>'31.12.2018'!N4</f>
        <v>1.752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6">
        <f t="shared" ref="AG4:AG25" si="0">(Q4+W4)/B4</f>
        <v>1.3378944945866438</v>
      </c>
      <c r="AH4" s="6">
        <f t="shared" ref="AH4:AH25" si="1">(T4+Z4)/E4</f>
        <v>2.1815022088343299</v>
      </c>
      <c r="AI4" s="6">
        <f t="shared" ref="AI4:AI25" si="2">(R4+X4)/C4</f>
        <v>2.0532136351808479</v>
      </c>
      <c r="AJ4" s="6">
        <f t="shared" ref="AJ4:AJ25" si="3">(U4+V4+AA4+AB4)/(F4+G4)</f>
        <v>3.0793226931744515</v>
      </c>
    </row>
    <row r="5" spans="1:36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4">
        <f>'31.12.2018'!L5</f>
        <v>1.2230369679931448</v>
      </c>
      <c r="K5" s="54">
        <v>2.1800000000000002</v>
      </c>
      <c r="L5" s="54">
        <f>'31.12.2018'!N5</f>
        <v>1.6693970685921824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>
        <f t="shared" ref="AC5:AC42" si="4">W5/B5</f>
        <v>0</v>
      </c>
      <c r="AD5">
        <f t="shared" ref="AD5:AD42" si="5">Z5/E5</f>
        <v>0</v>
      </c>
      <c r="AE5">
        <f t="shared" ref="AE5:AE42" si="6">(X5+Y5)/(C5+D5)</f>
        <v>0</v>
      </c>
      <c r="AF5">
        <f t="shared" ref="AF5:AF42" si="7">(AA5+AB5)/(F5+G5)</f>
        <v>0</v>
      </c>
      <c r="AG5" s="6">
        <f t="shared" si="0"/>
        <v>0.83448706250065552</v>
      </c>
      <c r="AH5" s="6">
        <f t="shared" si="1"/>
        <v>1.0513394445204542</v>
      </c>
      <c r="AI5" s="6">
        <f t="shared" si="2"/>
        <v>0.77812921961415382</v>
      </c>
      <c r="AJ5" s="6">
        <f t="shared" si="3"/>
        <v>1.2934140769794407</v>
      </c>
    </row>
    <row r="6" spans="1:36" hidden="1" x14ac:dyDescent="0.25">
      <c r="A6" s="61" t="s">
        <v>29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4">
        <f>'31.12.2018'!L6</f>
        <v>0</v>
      </c>
      <c r="K6" s="54">
        <v>2.1800000000000002</v>
      </c>
      <c r="L6" s="54">
        <f>'31.12.2018'!N6</f>
        <v>0</v>
      </c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>
        <f t="shared" si="4"/>
        <v>0.17665416825703317</v>
      </c>
      <c r="AD6">
        <f t="shared" si="5"/>
        <v>0.13488511580695767</v>
      </c>
      <c r="AG6" s="6">
        <f t="shared" si="0"/>
        <v>0.90567816969397608</v>
      </c>
      <c r="AH6" s="6">
        <f t="shared" si="1"/>
        <v>0.72390883085724844</v>
      </c>
      <c r="AI6" s="6"/>
      <c r="AJ6" s="6"/>
    </row>
    <row r="7" spans="1:36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'31.12.2018'!L7</f>
        <v>1.1052542996896859</v>
      </c>
      <c r="K7" s="54">
        <v>2.1800000000000002</v>
      </c>
      <c r="L7" s="54">
        <f>'31.12.2018'!N7</f>
        <v>1.499746061188213</v>
      </c>
      <c r="M7" s="55">
        <f t="shared" ref="M7:P8" si="8">I7*1.2</f>
        <v>0.95910406086235145</v>
      </c>
      <c r="N7" s="55">
        <f t="shared" si="8"/>
        <v>1.326305159627623</v>
      </c>
      <c r="O7" s="55">
        <f t="shared" si="8"/>
        <v>2.6160000000000001</v>
      </c>
      <c r="P7" s="55">
        <f t="shared" si="8"/>
        <v>1.7996952734258556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6">
        <f t="shared" si="0"/>
        <v>0.79925338405195956</v>
      </c>
      <c r="AH7" s="6">
        <f t="shared" si="1"/>
        <v>1.0993674792544803</v>
      </c>
      <c r="AI7" s="6">
        <f t="shared" si="2"/>
        <v>0.80154772519621764</v>
      </c>
      <c r="AJ7" s="6">
        <f t="shared" si="3"/>
        <v>1.6965011825839753</v>
      </c>
    </row>
    <row r="8" spans="1:36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'31.12.2018'!L8</f>
        <v>0.97</v>
      </c>
      <c r="K8" s="54">
        <v>2.1800000000000002</v>
      </c>
      <c r="L8" s="54">
        <f>'31.12.2018'!N8</f>
        <v>1.55</v>
      </c>
      <c r="M8" s="55">
        <f t="shared" si="8"/>
        <v>0.95910406086235145</v>
      </c>
      <c r="N8" s="55">
        <f t="shared" si="8"/>
        <v>1.1639999999999999</v>
      </c>
      <c r="O8" s="55">
        <f t="shared" si="8"/>
        <v>2.6160000000000001</v>
      </c>
      <c r="P8" s="55">
        <f t="shared" si="8"/>
        <v>1.8599999999999999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6">
        <f t="shared" ref="AG8" si="13">(Q8+W8)/B8</f>
        <v>0.79925338405195956</v>
      </c>
      <c r="AH8" s="6">
        <f t="shared" ref="AH8" si="14">(T8+Z8)/E8</f>
        <v>1.0993674792544803</v>
      </c>
      <c r="AI8" s="6">
        <f t="shared" ref="AI8" si="15">(R8+X8)/C8</f>
        <v>0.80154772519621764</v>
      </c>
      <c r="AJ8" s="6">
        <f t="shared" ref="AJ8" si="16">(U8+V8+AA8+AB8)/(F8+G8)</f>
        <v>1.6965011825839753</v>
      </c>
    </row>
    <row r="9" spans="1:36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4">
        <f>'31.12.2018'!L9</f>
        <v>1.36</v>
      </c>
      <c r="K9" s="54">
        <v>2.1800000000000002</v>
      </c>
      <c r="L9" s="54">
        <f>'31.12.2018'!N9</f>
        <v>2.0499999999999998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6">
        <f t="shared" si="0"/>
        <v>0.88003251834997398</v>
      </c>
      <c r="AH9" s="6">
        <f t="shared" si="1"/>
        <v>1.2995790594155217</v>
      </c>
      <c r="AI9" s="6">
        <f t="shared" si="2"/>
        <v>1.0519376194565246</v>
      </c>
      <c r="AJ9" s="6">
        <f t="shared" si="3"/>
        <v>1.5630771489392941</v>
      </c>
    </row>
    <row r="10" spans="1:36" x14ac:dyDescent="0.25">
      <c r="A10" s="61" t="s">
        <v>33</v>
      </c>
      <c r="B10" s="53">
        <v>12.874000000000001</v>
      </c>
      <c r="C10" s="53">
        <v>3.2320000000000002</v>
      </c>
      <c r="D10" s="53">
        <v>0</v>
      </c>
      <c r="E10" s="53">
        <v>12.874000000000001</v>
      </c>
      <c r="F10" s="53">
        <v>3.2320000000000002</v>
      </c>
      <c r="G10" s="53">
        <v>0</v>
      </c>
      <c r="H10" s="53">
        <v>44.454999999999998</v>
      </c>
      <c r="I10" s="53">
        <v>0.95</v>
      </c>
      <c r="J10" s="54">
        <f>'31.12.2018'!L10</f>
        <v>0.94799999999999995</v>
      </c>
      <c r="K10" s="54">
        <v>2.1800000000000002</v>
      </c>
      <c r="L10" s="54">
        <f>'31.12.2018'!N10</f>
        <v>1.1299999999999999</v>
      </c>
      <c r="M10" s="53">
        <v>1.1399999999999999</v>
      </c>
      <c r="N10" s="53">
        <v>1.1399999999999999</v>
      </c>
      <c r="O10" s="53">
        <v>1.36</v>
      </c>
      <c r="P10" s="63">
        <v>0</v>
      </c>
      <c r="Q10" s="53">
        <v>9.3949999999999996</v>
      </c>
      <c r="R10" s="53">
        <v>2.911</v>
      </c>
      <c r="S10" s="53">
        <v>0</v>
      </c>
      <c r="T10" s="53">
        <v>15.593999999999999</v>
      </c>
      <c r="U10" s="53">
        <v>3.556</v>
      </c>
      <c r="V10" s="63">
        <v>9.2550000000000008</v>
      </c>
      <c r="W10" s="53"/>
      <c r="X10" s="53"/>
      <c r="Y10" s="53"/>
      <c r="Z10" s="53"/>
      <c r="AA10" s="53"/>
      <c r="AB10" s="53"/>
      <c r="AC10">
        <f t="shared" si="4"/>
        <v>0</v>
      </c>
      <c r="AD10">
        <f t="shared" si="5"/>
        <v>0</v>
      </c>
      <c r="AE10">
        <f t="shared" si="6"/>
        <v>0</v>
      </c>
      <c r="AF10">
        <f t="shared" si="7"/>
        <v>0</v>
      </c>
      <c r="AG10" s="6">
        <f t="shared" si="0"/>
        <v>0.72976541867329492</v>
      </c>
      <c r="AH10" s="6">
        <f t="shared" si="1"/>
        <v>1.2112785459064781</v>
      </c>
      <c r="AI10" s="6">
        <f t="shared" si="2"/>
        <v>0.90068069306930687</v>
      </c>
      <c r="AJ10" s="6">
        <f t="shared" si="3"/>
        <v>3.9637995049504946</v>
      </c>
    </row>
    <row r="11" spans="1:36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4">
        <f>'31.12.2018'!L11</f>
        <v>1.5680000000000001</v>
      </c>
      <c r="K11" s="54">
        <v>2.1800000000000002</v>
      </c>
      <c r="L11" s="54">
        <f>'31.12.2018'!N11</f>
        <v>0.72899999999999998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>
        <f t="shared" si="4"/>
        <v>1.0967769959169489E-2</v>
      </c>
      <c r="AD11">
        <f t="shared" si="5"/>
        <v>0</v>
      </c>
      <c r="AE11">
        <f t="shared" si="6"/>
        <v>0.10334020974245813</v>
      </c>
      <c r="AF11">
        <f t="shared" si="7"/>
        <v>0</v>
      </c>
      <c r="AG11" s="6">
        <f t="shared" si="0"/>
        <v>0.61889388411085056</v>
      </c>
      <c r="AH11" s="6">
        <f t="shared" si="1"/>
        <v>0.79558602983379723</v>
      </c>
      <c r="AI11" s="6">
        <f t="shared" si="2"/>
        <v>0.81573140314685566</v>
      </c>
      <c r="AJ11" s="6">
        <f t="shared" si="3"/>
        <v>0.84199271802577591</v>
      </c>
    </row>
    <row r="12" spans="1:36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4">
        <f>'31.12.2018'!L12</f>
        <v>1.097</v>
      </c>
      <c r="K12" s="54">
        <v>2.1800000000000002</v>
      </c>
      <c r="L12" s="54">
        <f>'31.12.2018'!N12</f>
        <v>1.7969999999999999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6">
        <f t="shared" si="0"/>
        <v>0.97989817704056492</v>
      </c>
      <c r="AH12" s="6">
        <f t="shared" si="1"/>
        <v>1.299988393108823</v>
      </c>
      <c r="AI12" s="6">
        <f t="shared" si="2"/>
        <v>0.98074142916150364</v>
      </c>
      <c r="AJ12" s="6">
        <f t="shared" si="3"/>
        <v>1.7523994811932551</v>
      </c>
    </row>
    <row r="13" spans="1:36" x14ac:dyDescent="0.25">
      <c r="A13" s="61" t="s">
        <v>36</v>
      </c>
      <c r="B13" s="53">
        <v>36.872999999999998</v>
      </c>
      <c r="C13" s="53">
        <v>11.788</v>
      </c>
      <c r="D13" s="53">
        <v>0</v>
      </c>
      <c r="E13" s="53">
        <v>36.313000000000002</v>
      </c>
      <c r="F13" s="53">
        <v>7.87</v>
      </c>
      <c r="G13" s="53">
        <v>0</v>
      </c>
      <c r="H13" s="53"/>
      <c r="I13" s="53">
        <v>0.8</v>
      </c>
      <c r="J13" s="54">
        <f>'31.12.2018'!L13</f>
        <v>0.89</v>
      </c>
      <c r="K13" s="54">
        <v>2.1800000000000002</v>
      </c>
      <c r="L13" s="54">
        <f>'31.12.2018'!N13</f>
        <v>1.99</v>
      </c>
      <c r="M13" s="53">
        <v>0.96</v>
      </c>
      <c r="N13" s="53">
        <v>0.96</v>
      </c>
      <c r="O13" s="53">
        <v>1.92</v>
      </c>
      <c r="P13" s="53">
        <v>1.92</v>
      </c>
      <c r="Q13" s="53">
        <v>25.811</v>
      </c>
      <c r="R13" s="53">
        <v>8.2520000000000007</v>
      </c>
      <c r="S13" s="53">
        <v>0</v>
      </c>
      <c r="T13" s="53">
        <v>53.38</v>
      </c>
      <c r="U13" s="53">
        <v>11.569000000000001</v>
      </c>
      <c r="V13" s="53"/>
      <c r="W13" s="53"/>
      <c r="X13" s="53"/>
      <c r="Y13" s="53"/>
      <c r="Z13" s="53"/>
      <c r="AA13" s="53"/>
      <c r="AB13" s="53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6">
        <f t="shared" si="0"/>
        <v>0.69999728798850114</v>
      </c>
      <c r="AH13" s="6">
        <f t="shared" si="1"/>
        <v>1.4699969707818137</v>
      </c>
      <c r="AI13" s="6">
        <f t="shared" si="2"/>
        <v>0.70003393281303028</v>
      </c>
      <c r="AJ13" s="6">
        <f t="shared" si="3"/>
        <v>1.470012706480305</v>
      </c>
    </row>
    <row r="14" spans="1:36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4">
        <f>'31.12.2018'!L14</f>
        <v>1.43</v>
      </c>
      <c r="K14" s="54">
        <v>2.1800000000000002</v>
      </c>
      <c r="L14" s="54">
        <f>'31.12.2018'!N14</f>
        <v>1.585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 s="6">
        <f t="shared" si="0"/>
        <v>1.1520338946782789</v>
      </c>
      <c r="AH14" s="6">
        <f t="shared" si="1"/>
        <v>1.3016703656114941</v>
      </c>
      <c r="AI14" s="6">
        <f t="shared" si="2"/>
        <v>1.2099607267705321</v>
      </c>
      <c r="AJ14" s="6">
        <f t="shared" si="3"/>
        <v>1.3286790266512165</v>
      </c>
    </row>
    <row r="15" spans="1:36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4">
        <f>'31.12.2018'!L15</f>
        <v>1.4650000000000001</v>
      </c>
      <c r="K15" s="54">
        <v>2.1800000000000002</v>
      </c>
      <c r="L15" s="54">
        <f>'31.12.2018'!N15</f>
        <v>2.1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G15" s="6"/>
      <c r="AH15" s="6"/>
      <c r="AI15" s="6"/>
      <c r="AJ15" s="6"/>
    </row>
    <row r="16" spans="1:36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4">
        <f>'31.12.2018'!L16</f>
        <v>1.1200000000000001</v>
      </c>
      <c r="K16" s="54">
        <v>2.1800000000000002</v>
      </c>
      <c r="L16" s="54">
        <f>'31.12.2018'!N16</f>
        <v>1.37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>
        <f t="shared" si="4"/>
        <v>0.11849604637715984</v>
      </c>
      <c r="AD16">
        <f t="shared" si="5"/>
        <v>0.11882713454940048</v>
      </c>
      <c r="AE16">
        <f t="shared" si="6"/>
        <v>7.8722718617255022E-2</v>
      </c>
      <c r="AF16">
        <f t="shared" si="7"/>
        <v>6.5533099571828804E-2</v>
      </c>
      <c r="AG16" s="6">
        <f t="shared" si="0"/>
        <v>0.99849814896860367</v>
      </c>
      <c r="AH16" s="6">
        <f t="shared" si="1"/>
        <v>1.0288065780725819</v>
      </c>
      <c r="AI16" s="6">
        <f t="shared" si="2"/>
        <v>0.95872857770616671</v>
      </c>
      <c r="AJ16" s="6">
        <f t="shared" si="3"/>
        <v>0.97554666713653904</v>
      </c>
    </row>
    <row r="17" spans="1:36" x14ac:dyDescent="0.25">
      <c r="A17" s="61" t="s">
        <v>40</v>
      </c>
      <c r="B17" s="53">
        <v>48.48</v>
      </c>
      <c r="C17" s="53">
        <v>6.8789999999999996</v>
      </c>
      <c r="D17" s="53">
        <v>7.4999999999999997E-2</v>
      </c>
      <c r="E17" s="53">
        <v>46.804000000000002</v>
      </c>
      <c r="F17" s="53">
        <v>4.7789999999999999</v>
      </c>
      <c r="G17" s="53"/>
      <c r="H17" s="53"/>
      <c r="I17" s="53">
        <v>1.1399999999999999</v>
      </c>
      <c r="J17" s="54">
        <f>'31.12.2018'!L17</f>
        <v>1.83</v>
      </c>
      <c r="K17" s="54">
        <v>2.1800000000000002</v>
      </c>
      <c r="L17" s="54">
        <f>'31.12.2018'!N17</f>
        <v>2.77</v>
      </c>
      <c r="M17" s="53">
        <v>1.3680000000000001</v>
      </c>
      <c r="N17" s="53">
        <v>2.016</v>
      </c>
      <c r="O17" s="53">
        <v>2.016</v>
      </c>
      <c r="P17" s="53">
        <v>3.2519999999999998</v>
      </c>
      <c r="Q17" s="53">
        <v>55.267000000000003</v>
      </c>
      <c r="R17" s="53">
        <v>11.557</v>
      </c>
      <c r="S17" s="53">
        <v>0.126</v>
      </c>
      <c r="T17" s="53">
        <v>78.631</v>
      </c>
      <c r="U17" s="53">
        <v>12.951000000000001</v>
      </c>
      <c r="V17" s="53">
        <v>0</v>
      </c>
      <c r="W17" s="53">
        <v>7.694</v>
      </c>
      <c r="X17" s="53">
        <v>0.33</v>
      </c>
      <c r="Y17" s="53">
        <v>1.9E-2</v>
      </c>
      <c r="Z17" s="53">
        <v>0</v>
      </c>
      <c r="AA17" s="53">
        <v>0</v>
      </c>
      <c r="AB17" s="53">
        <v>0</v>
      </c>
      <c r="AC17">
        <f t="shared" si="4"/>
        <v>0.15870462046204623</v>
      </c>
      <c r="AD17">
        <f t="shared" si="5"/>
        <v>0</v>
      </c>
      <c r="AE17">
        <f t="shared" si="6"/>
        <v>5.0186942766752951E-2</v>
      </c>
      <c r="AF17">
        <f t="shared" si="7"/>
        <v>0</v>
      </c>
      <c r="AG17" s="6">
        <f t="shared" si="0"/>
        <v>1.2987004950495051</v>
      </c>
      <c r="AH17" s="6">
        <f t="shared" si="1"/>
        <v>1.6800059823946671</v>
      </c>
      <c r="AI17" s="6">
        <f t="shared" si="2"/>
        <v>1.7280127925570579</v>
      </c>
      <c r="AJ17" s="6">
        <f t="shared" si="3"/>
        <v>2.7099811676082863</v>
      </c>
    </row>
    <row r="18" spans="1:36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4">
        <f>'31.12.2018'!L18</f>
        <v>1.27</v>
      </c>
      <c r="K18" s="54">
        <v>2.1800000000000002</v>
      </c>
      <c r="L18" s="54">
        <f>'31.12.2018'!N18</f>
        <v>2.4</v>
      </c>
      <c r="M18" s="53"/>
      <c r="N18" s="53"/>
      <c r="O18" s="53"/>
      <c r="P18" s="53"/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>
        <f t="shared" si="4"/>
        <v>6.9620980531868437E-2</v>
      </c>
      <c r="AD18">
        <f t="shared" si="5"/>
        <v>3.5452454816255349E-2</v>
      </c>
      <c r="AE18">
        <f t="shared" si="6"/>
        <v>6.6647452986526398E-2</v>
      </c>
      <c r="AF18">
        <f t="shared" si="7"/>
        <v>0</v>
      </c>
      <c r="AG18" s="6">
        <f t="shared" si="0"/>
        <v>0.51169926678465538</v>
      </c>
      <c r="AH18" s="6">
        <f t="shared" si="1"/>
        <v>1.0327977651216991</v>
      </c>
      <c r="AI18" s="6">
        <f t="shared" si="2"/>
        <v>0.87509244802366659</v>
      </c>
      <c r="AJ18" s="6">
        <f t="shared" si="3"/>
        <v>0.79187448988845555</v>
      </c>
    </row>
    <row r="19" spans="1:36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4">
        <f>'31.12.2018'!L19</f>
        <v>1.3</v>
      </c>
      <c r="K19" s="54">
        <v>2.1800000000000002</v>
      </c>
      <c r="L19" s="54">
        <f>'31.12.2018'!N19</f>
        <v>2.34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 s="6">
        <f t="shared" si="0"/>
        <v>0.87942701671976364</v>
      </c>
      <c r="AH19" s="6">
        <f t="shared" si="1"/>
        <v>1.639238711141366</v>
      </c>
      <c r="AI19" s="6">
        <f t="shared" si="2"/>
        <v>1.0438565051643804</v>
      </c>
      <c r="AJ19" s="6">
        <f t="shared" si="3"/>
        <v>1.8885325850953669</v>
      </c>
    </row>
    <row r="20" spans="1:36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4">
        <f>'31.12.2018'!L20</f>
        <v>0.95410476479985507</v>
      </c>
      <c r="K20" s="54">
        <v>2.1800000000000002</v>
      </c>
      <c r="L20" s="54">
        <f>'31.12.2018'!N20</f>
        <v>2.1621893039278515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G20" s="6"/>
      <c r="AH20" s="6"/>
      <c r="AI20" s="6"/>
      <c r="AJ20" s="6"/>
    </row>
    <row r="21" spans="1:36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'31.12.2018'!L21</f>
        <v>1.23</v>
      </c>
      <c r="K21" s="54">
        <v>2.1800000000000002</v>
      </c>
      <c r="L21" s="54">
        <f>'31.12.2018'!N21</f>
        <v>1.95</v>
      </c>
      <c r="M21" s="55">
        <f>I21*1.2</f>
        <v>1.0533287438244108</v>
      </c>
      <c r="N21" s="55">
        <f>J21*1.2</f>
        <v>1.476</v>
      </c>
      <c r="O21" s="55">
        <f>K21*1.2</f>
        <v>2.6160000000000001</v>
      </c>
      <c r="P21" s="55">
        <f>L21*1.2</f>
        <v>2.34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>
        <f t="shared" si="4"/>
        <v>5.9174293350611491E-3</v>
      </c>
      <c r="AD21">
        <f t="shared" si="5"/>
        <v>5.889227873654812E-3</v>
      </c>
      <c r="AE21">
        <f t="shared" si="6"/>
        <v>1.4628205774898577E-3</v>
      </c>
      <c r="AF21">
        <f t="shared" si="7"/>
        <v>9.4609936746499425E-4</v>
      </c>
      <c r="AG21" s="6">
        <f t="shared" si="0"/>
        <v>0.88369138252207025</v>
      </c>
      <c r="AH21" s="6">
        <f t="shared" si="1"/>
        <v>1.6710127549342522</v>
      </c>
      <c r="AI21" s="6">
        <f t="shared" si="2"/>
        <v>0.94171776930670958</v>
      </c>
      <c r="AJ21" s="6">
        <f t="shared" si="3"/>
        <v>2.1638049413418394</v>
      </c>
    </row>
    <row r="22" spans="1:36" x14ac:dyDescent="0.25">
      <c r="A22" s="61" t="s">
        <v>45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4">
        <f>'31.12.2018'!L22</f>
        <v>1.33</v>
      </c>
      <c r="K22" s="54">
        <v>2.1800000000000002</v>
      </c>
      <c r="L22" s="54">
        <f>'31.12.2018'!N22</f>
        <v>1.67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6">
        <f t="shared" si="0"/>
        <v>0.76225327123530717</v>
      </c>
      <c r="AH22" s="6">
        <f t="shared" si="1"/>
        <v>1.0803619386026526</v>
      </c>
      <c r="AI22" s="6">
        <f t="shared" si="2"/>
        <v>0.9160878332959892</v>
      </c>
      <c r="AJ22" s="6">
        <f t="shared" si="3"/>
        <v>1.621903520208605</v>
      </c>
    </row>
    <row r="23" spans="1:36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4">
        <f>'31.12.2018'!L23</f>
        <v>0.97699999999999998</v>
      </c>
      <c r="K23" s="54">
        <v>2.1800000000000002</v>
      </c>
      <c r="L23" s="54">
        <f>'31.12.2018'!N23</f>
        <v>2.94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6">
        <f t="shared" si="0"/>
        <v>1.0845812438757276</v>
      </c>
      <c r="AH23" s="6">
        <f t="shared" si="1"/>
        <v>1.373533830622842</v>
      </c>
      <c r="AI23" s="6">
        <f t="shared" si="2"/>
        <v>1.080019864260884</v>
      </c>
      <c r="AJ23" s="6">
        <f t="shared" si="3"/>
        <v>1.3716961563845502</v>
      </c>
    </row>
    <row r="24" spans="1:36" x14ac:dyDescent="0.25">
      <c r="A24" s="61" t="s">
        <v>47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4">
        <f>'31.12.2018'!L24</f>
        <v>0.875</v>
      </c>
      <c r="K24" s="54">
        <v>2.1800000000000002</v>
      </c>
      <c r="L24" s="54">
        <f>'31.12.2018'!N24</f>
        <v>1.375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6">
        <f t="shared" si="0"/>
        <v>0.88999817651349378</v>
      </c>
      <c r="AH24" s="6">
        <f t="shared" si="1"/>
        <v>0.8942359891425834</v>
      </c>
      <c r="AI24" s="6">
        <f t="shared" si="2"/>
        <v>1.2799895914650012</v>
      </c>
      <c r="AJ24" s="6">
        <f t="shared" si="3"/>
        <v>1.469523117889131</v>
      </c>
    </row>
    <row r="25" spans="1:36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4">
        <f>'31.12.2018'!L25</f>
        <v>1.52</v>
      </c>
      <c r="K25" s="54">
        <v>2.1800000000000002</v>
      </c>
      <c r="L25" s="54">
        <f>'31.12.2018'!N25</f>
        <v>1.63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6">
        <f t="shared" si="0"/>
        <v>0.75615624673314896</v>
      </c>
      <c r="AH25" s="6">
        <f t="shared" si="1"/>
        <v>1.2315762399589876</v>
      </c>
      <c r="AI25" s="6">
        <f t="shared" si="2"/>
        <v>0.65771646125267458</v>
      </c>
      <c r="AJ25" s="6">
        <f t="shared" si="3"/>
        <v>1.1102469659745284</v>
      </c>
    </row>
    <row r="26" spans="1:36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4">
        <f>'31.12.2018'!L26</f>
        <v>1</v>
      </c>
      <c r="K26" s="54">
        <v>2.1800000000000002</v>
      </c>
      <c r="L26" s="54">
        <f>'31.12.2018'!N26</f>
        <v>1.64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6">
        <f>(Q26+W26)/B26</f>
        <v>0.94997561885093085</v>
      </c>
      <c r="AH26" s="6">
        <f>(T26+Z26)/E26</f>
        <v>1.199990389697756</v>
      </c>
      <c r="AI26" s="6">
        <f>(R26+X26)/C26</f>
        <v>1.0500039249548629</v>
      </c>
      <c r="AJ26" s="6">
        <f>(U26+V26+AA26+AB26)/(F26+G26)</f>
        <v>1.4598601909633748</v>
      </c>
    </row>
    <row r="27" spans="1:36" x14ac:dyDescent="0.25">
      <c r="A27" s="64" t="s">
        <v>50</v>
      </c>
      <c r="B27" s="53">
        <v>86.088999999999999</v>
      </c>
      <c r="C27" s="53">
        <v>29.715</v>
      </c>
      <c r="D27" s="53">
        <v>1.278</v>
      </c>
      <c r="E27" s="53">
        <v>83.031999999999996</v>
      </c>
      <c r="F27" s="53">
        <v>161.767</v>
      </c>
      <c r="G27" s="53">
        <v>6.4000000000000001E-2</v>
      </c>
      <c r="H27" s="53"/>
      <c r="I27" s="53">
        <v>0.62</v>
      </c>
      <c r="J27" s="54">
        <f>'31.12.2018'!L27</f>
        <v>1.2</v>
      </c>
      <c r="K27" s="54">
        <v>2.1800000000000002</v>
      </c>
      <c r="L27" s="54">
        <f>'31.12.2018'!N27</f>
        <v>1.1499999999999999</v>
      </c>
      <c r="M27" s="53"/>
      <c r="N27" s="53"/>
      <c r="O27" s="53"/>
      <c r="P27" s="53"/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6">
        <f t="shared" ref="AG27:AG42" si="17">(Q27+W27)/B27</f>
        <v>0.62302965535666577</v>
      </c>
      <c r="AH27" s="6">
        <f t="shared" ref="AH27:AH42" si="18">(T27+Z27)/E27</f>
        <v>1.2065107428461317</v>
      </c>
      <c r="AI27" s="6">
        <f t="shared" ref="AI27:AI42" si="19">(R27+X27)/C27</f>
        <v>0.89567558472152109</v>
      </c>
      <c r="AJ27" s="6">
        <f t="shared" ref="AJ27:AJ42" si="20">(U27+V27+AA27+AB27)/(F27+G27)</f>
        <v>1.4802664508036163</v>
      </c>
    </row>
    <row r="28" spans="1:36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4">
        <f>'31.12.2018'!L28</f>
        <v>0.76</v>
      </c>
      <c r="K28" s="54">
        <v>2.1800000000000002</v>
      </c>
      <c r="L28" s="54">
        <f>'31.12.2018'!N28</f>
        <v>1.1399999999999999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6">
        <f t="shared" si="17"/>
        <v>0.76399873769748139</v>
      </c>
      <c r="AH28" s="6">
        <f t="shared" si="18"/>
        <v>0.64499962748652739</v>
      </c>
      <c r="AI28" s="6">
        <f t="shared" si="19"/>
        <v>0.76400345399595515</v>
      </c>
      <c r="AJ28" s="6">
        <f t="shared" si="20"/>
        <v>0.64499891706945289</v>
      </c>
    </row>
    <row r="29" spans="1:36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4">
        <f>'31.12.2018'!L29</f>
        <v>2.14</v>
      </c>
      <c r="K29" s="54">
        <v>2.1800000000000002</v>
      </c>
      <c r="L29" s="54">
        <f>'31.12.2018'!N29</f>
        <v>2.39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G29" s="6"/>
      <c r="AH29" s="6"/>
      <c r="AI29" s="6"/>
      <c r="AJ29" s="6"/>
    </row>
    <row r="30" spans="1:36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4">
        <f>'31.12.2018'!L30</f>
        <v>0.96</v>
      </c>
      <c r="K30" s="54">
        <v>2.1800000000000002</v>
      </c>
      <c r="L30" s="54">
        <f>'31.12.2018'!N30</f>
        <v>1.28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G30" s="6"/>
      <c r="AH30" s="6"/>
      <c r="AI30" s="6"/>
      <c r="AJ30" s="6"/>
    </row>
    <row r="31" spans="1:36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4">
        <f>'31.12.2018'!L31</f>
        <v>1.4419999999999999</v>
      </c>
      <c r="K31" s="54">
        <v>2.1800000000000002</v>
      </c>
      <c r="L31" s="54">
        <f>'31.12.2018'!N31</f>
        <v>1.97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6">
        <f t="shared" si="17"/>
        <v>0.72615968478812642</v>
      </c>
      <c r="AH31" s="6">
        <f t="shared" si="18"/>
        <v>0.91472088969194165</v>
      </c>
      <c r="AI31" s="6">
        <f t="shared" si="19"/>
        <v>0.71665866739007955</v>
      </c>
      <c r="AJ31" s="6">
        <f t="shared" si="20"/>
        <v>0.93633352400462933</v>
      </c>
    </row>
    <row r="32" spans="1:36" x14ac:dyDescent="0.25">
      <c r="A32" s="61" t="s">
        <v>55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4">
        <f>'31.12.2018'!L32</f>
        <v>1.04</v>
      </c>
      <c r="K32" s="54">
        <v>2.1800000000000002</v>
      </c>
      <c r="L32" s="54">
        <f>'31.12.2018'!N32</f>
        <v>0.98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>
        <v>0</v>
      </c>
      <c r="AD32">
        <v>0</v>
      </c>
      <c r="AE32">
        <v>0</v>
      </c>
      <c r="AF32">
        <v>0</v>
      </c>
      <c r="AG32" s="6">
        <f t="shared" si="17"/>
        <v>1.1361670232202252</v>
      </c>
      <c r="AH32" s="6">
        <f t="shared" si="18"/>
        <v>1.1442430025445292</v>
      </c>
      <c r="AI32" s="6">
        <f t="shared" si="19"/>
        <v>1.2921573137074518</v>
      </c>
      <c r="AJ32" s="6">
        <f t="shared" si="20"/>
        <v>1.9963516839043864</v>
      </c>
    </row>
    <row r="33" spans="1:36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4">
        <f>'31.12.2018'!L33</f>
        <v>1.87</v>
      </c>
      <c r="K33" s="54">
        <v>2.1800000000000002</v>
      </c>
      <c r="L33" s="54">
        <f>'31.12.2018'!N33</f>
        <v>2.82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6">
        <f t="shared" si="17"/>
        <v>0.76098776051466765</v>
      </c>
      <c r="AH33" s="6">
        <f t="shared" si="18"/>
        <v>0.58309961193879967</v>
      </c>
      <c r="AI33" s="6">
        <f t="shared" si="19"/>
        <v>0.89000139840581727</v>
      </c>
      <c r="AJ33" s="6">
        <f t="shared" si="20"/>
        <v>0.85747002559612018</v>
      </c>
    </row>
    <row r="34" spans="1:36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4">
        <f>'31.12.2018'!L34</f>
        <v>2.3199999999999998</v>
      </c>
      <c r="K34" s="54">
        <v>2.1800000000000002</v>
      </c>
      <c r="L34" s="54">
        <f>'31.12.2018'!N34</f>
        <v>1.72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6">
        <f t="shared" si="17"/>
        <v>0.91588165515316444</v>
      </c>
      <c r="AH34" s="6">
        <f t="shared" si="18"/>
        <v>1.3636522205823158</v>
      </c>
      <c r="AI34" s="6">
        <f t="shared" si="19"/>
        <v>1.540762331838565</v>
      </c>
      <c r="AJ34" s="6">
        <f t="shared" si="20"/>
        <v>2.2919541323690349</v>
      </c>
    </row>
    <row r="35" spans="1:36" x14ac:dyDescent="0.25">
      <c r="A35" s="61" t="s">
        <v>58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4">
        <f>'31.12.2018'!L35</f>
        <v>1.05</v>
      </c>
      <c r="K35" s="54">
        <v>2.1800000000000002</v>
      </c>
      <c r="L35" s="54">
        <f>'31.12.2018'!N35</f>
        <v>1.37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6">
        <f t="shared" si="17"/>
        <v>0.95</v>
      </c>
      <c r="AH35" s="6">
        <f t="shared" si="18"/>
        <v>0.78000585480093676</v>
      </c>
      <c r="AI35" s="6">
        <f t="shared" si="19"/>
        <v>2.122851919561243</v>
      </c>
      <c r="AJ35" s="6">
        <f t="shared" si="20"/>
        <v>1.4646207974980454</v>
      </c>
    </row>
    <row r="36" spans="1:36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4">
        <f>'31.12.2018'!L36</f>
        <v>0.61599999999999999</v>
      </c>
      <c r="K36" s="54">
        <v>2.1800000000000002</v>
      </c>
      <c r="L36" s="54">
        <f>'31.12.2018'!N36</f>
        <v>1.08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4">
        <f>'31.12.2018'!L37</f>
        <v>1.53</v>
      </c>
      <c r="K37" s="54">
        <v>2.1800000000000002</v>
      </c>
      <c r="L37" s="54">
        <f>'31.12.2018'!N37</f>
        <v>1.6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4">
        <f>'31.12.2018'!L38</f>
        <v>1.2509999999999999</v>
      </c>
      <c r="K38" s="54">
        <v>2.1800000000000002</v>
      </c>
      <c r="L38" s="54">
        <f>'31.12.2018'!N38</f>
        <v>1.464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4">
        <f>'31.12.2018'!L39</f>
        <v>1.0429999999999999</v>
      </c>
      <c r="K39" s="54">
        <v>2.1800000000000002</v>
      </c>
      <c r="L39" s="54">
        <f>'31.12.2018'!N39</f>
        <v>1.615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4">
        <f>'31.12.2018'!L40</f>
        <v>0.879</v>
      </c>
      <c r="K40" s="54">
        <v>2.1800000000000002</v>
      </c>
      <c r="L40" s="54">
        <f>'31.12.2018'!N40</f>
        <v>1.915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>
        <f t="shared" ref="AC40" si="21">W40/B40</f>
        <v>0</v>
      </c>
      <c r="AD40">
        <f t="shared" ref="AD40" si="22">Z40/E40</f>
        <v>0</v>
      </c>
      <c r="AE40">
        <f t="shared" ref="AE40" si="23">(X40+Y40)/(C40+D40)</f>
        <v>0</v>
      </c>
      <c r="AF40">
        <f t="shared" ref="AF40" si="24">(AA40+AB40)/(F40+G40)</f>
        <v>0</v>
      </c>
      <c r="AG40" s="6">
        <f t="shared" ref="AG40" si="25">(Q40+W40)/B40</f>
        <v>0.7730582524271844</v>
      </c>
      <c r="AH40" s="6">
        <f t="shared" ref="AH40" si="26">(T40+Z40)/E40</f>
        <v>0.9519913367825773</v>
      </c>
      <c r="AI40" s="6">
        <f t="shared" ref="AI40" si="27">(R40+X40)/C40</f>
        <v>0.77325056433408579</v>
      </c>
      <c r="AJ40" s="6">
        <f t="shared" ref="AJ40" si="28">(U40+V40+AA40+AB40)/(F40+G40)</f>
        <v>0.97857675111773468</v>
      </c>
    </row>
    <row r="41" spans="1:36" x14ac:dyDescent="0.25">
      <c r="A41" s="61" t="s">
        <v>64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4">
        <f>'31.12.2018'!L41</f>
        <v>1.47</v>
      </c>
      <c r="K41" s="54">
        <v>2.1800000000000002</v>
      </c>
      <c r="L41" s="54">
        <f>'31.12.2018'!N41</f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4">
        <f>'31.12.2018'!L42</f>
        <v>0.77</v>
      </c>
      <c r="K42" s="54">
        <v>2.1800000000000002</v>
      </c>
      <c r="L42" s="54">
        <f>'31.12.2018'!N42</f>
        <v>1.08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4">
        <f>'31.12.2018'!L43</f>
        <v>1</v>
      </c>
      <c r="K43" s="54">
        <v>2.1800000000000002</v>
      </c>
      <c r="L43" s="54">
        <f>'31.12.2018'!N43</f>
        <v>1.5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>
        <f t="shared" ref="AC43" si="29">W43/B43</f>
        <v>0</v>
      </c>
      <c r="AD43">
        <f t="shared" ref="AD43" si="30">Z43/E43</f>
        <v>0</v>
      </c>
      <c r="AE43">
        <f t="shared" ref="AE43" si="31">(X43+Y43)/(C43+D43)</f>
        <v>0</v>
      </c>
      <c r="AF43">
        <f t="shared" ref="AF43" si="32">(AA43+AB43)/(F43+G43)</f>
        <v>0</v>
      </c>
      <c r="AG43" s="6">
        <f t="shared" ref="AG43" si="33">(Q43+W43)/B43</f>
        <v>0.75755637294098832</v>
      </c>
      <c r="AH43" s="6">
        <f t="shared" ref="AH43" si="34">(T43+Z43)/E43</f>
        <v>0.97603269856618735</v>
      </c>
      <c r="AI43" s="6">
        <f t="shared" ref="AI43" si="35">(R43+X43)/C43</f>
        <v>0.76044728434504794</v>
      </c>
      <c r="AJ43" s="6">
        <f t="shared" ref="AJ43" si="36">(U43+V43+AA43+AB43)/(F43+G43)</f>
        <v>1.2926315444776151</v>
      </c>
    </row>
    <row r="44" spans="1:36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4">
        <f>'31.12.2018'!L44</f>
        <v>0.98</v>
      </c>
      <c r="K44" s="54">
        <v>2.1800000000000002</v>
      </c>
      <c r="L44" s="54">
        <f>'31.12.2018'!N44</f>
        <v>1.54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>
        <f t="shared" ref="AC44" si="37">W44/B44</f>
        <v>0</v>
      </c>
      <c r="AD44">
        <f t="shared" ref="AD44" si="38">Z44/E44</f>
        <v>0</v>
      </c>
      <c r="AE44">
        <f t="shared" ref="AE44" si="39">(X44+Y44)/(C44+D44)</f>
        <v>0</v>
      </c>
      <c r="AF44">
        <f t="shared" ref="AF44" si="40">(AA44+AB44)/(F44+G44)</f>
        <v>0</v>
      </c>
      <c r="AG44" s="6">
        <f t="shared" ref="AG44" si="41">(Q44+W44)/B44</f>
        <v>0.75755637294098832</v>
      </c>
      <c r="AH44" s="6">
        <f t="shared" ref="AH44" si="42">(T44+Z44)/E44</f>
        <v>0.97603269856618735</v>
      </c>
      <c r="AI44" s="6">
        <f t="shared" ref="AI44" si="43">(R44+X44)/C44</f>
        <v>0.76044728434504794</v>
      </c>
      <c r="AJ44" s="6">
        <f t="shared" ref="AJ44" si="44">(U44+V44+AA44+AB44)/(F44+G44)</f>
        <v>1.2926315444776151</v>
      </c>
    </row>
    <row r="45" spans="1:36" x14ac:dyDescent="0.25">
      <c r="A45" s="4" t="s">
        <v>72</v>
      </c>
      <c r="J45" s="6">
        <f>SUM(J4:J44)/41</f>
        <v>1.1975706349386019</v>
      </c>
      <c r="K45" s="6"/>
      <c r="L45" s="6">
        <f>SUM(L4:L44)/41</f>
        <v>1.6808129861880057</v>
      </c>
    </row>
    <row r="46" spans="1:36" x14ac:dyDescent="0.25">
      <c r="A46" s="4" t="s">
        <v>68</v>
      </c>
    </row>
    <row r="47" spans="1:36" x14ac:dyDescent="0.25">
      <c r="A47" s="4" t="s">
        <v>69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44"/>
  <sheetViews>
    <sheetView zoomScaleNormal="100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A41" sqref="A41:XFD42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</row>
    <row r="2" spans="1:36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</row>
    <row r="3" spans="1:36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4" t="s">
        <v>25</v>
      </c>
      <c r="AH3" s="14" t="s">
        <v>26</v>
      </c>
      <c r="AI3" s="14" t="s">
        <v>25</v>
      </c>
      <c r="AJ3" s="14" t="s">
        <v>26</v>
      </c>
    </row>
    <row r="4" spans="1:36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>'31.12.2018'!AM4</f>
        <v>1.3222268805578232</v>
      </c>
      <c r="AH4" s="55">
        <f t="shared" ref="AH4" si="0">(T4+Z4)/E4</f>
        <v>2.1815022088343299</v>
      </c>
      <c r="AI4" s="55">
        <f>'31.12.2018'!AO4</f>
        <v>1.3170159823906593</v>
      </c>
      <c r="AJ4" s="55">
        <f t="shared" ref="AJ4:AJ25" si="1">(U4+V4+AA4+AB4)/(F4+G4)</f>
        <v>3.0793226931744515</v>
      </c>
    </row>
    <row r="5" spans="1:36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2">W5/B5</f>
        <v>0</v>
      </c>
      <c r="AD5" s="53">
        <f t="shared" ref="AD5:AD42" si="3">Z5/E5</f>
        <v>0</v>
      </c>
      <c r="AE5" s="53">
        <f t="shared" ref="AE5:AE42" si="4">(X5+Y5)/(C5+D5)</f>
        <v>0</v>
      </c>
      <c r="AF5" s="53">
        <f t="shared" ref="AF5:AF42" si="5">(AA5+AB5)/(F5+G5)</f>
        <v>0</v>
      </c>
      <c r="AG5" s="55">
        <f>'31.12.2018'!AM5</f>
        <v>1.2282389676460501</v>
      </c>
      <c r="AH5" s="55">
        <f t="shared" ref="AH5:AH42" si="6">(T5+Z5)/E5</f>
        <v>1.0513394445204542</v>
      </c>
      <c r="AI5" s="55">
        <f>'31.12.2018'!AO5</f>
        <v>1.2230369679931448</v>
      </c>
      <c r="AJ5" s="55">
        <f t="shared" si="1"/>
        <v>1.2934140769794407</v>
      </c>
    </row>
    <row r="6" spans="1:36" x14ac:dyDescent="0.25">
      <c r="A6" s="61" t="s">
        <v>29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2"/>
        <v>0.17665416825703317</v>
      </c>
      <c r="AD6" s="53">
        <f t="shared" si="3"/>
        <v>0.13488511580695767</v>
      </c>
      <c r="AE6" s="53"/>
      <c r="AF6" s="53"/>
      <c r="AG6" s="55">
        <f>'31.12.2018'!AM6</f>
        <v>0.84880158770546033</v>
      </c>
      <c r="AH6" s="55">
        <f t="shared" si="6"/>
        <v>0.72390883085724844</v>
      </c>
      <c r="AI6" s="55">
        <f>'31.12.2018'!AO6</f>
        <v>0</v>
      </c>
      <c r="AJ6" s="55"/>
    </row>
    <row r="7" spans="1:36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7">I7*1.2</f>
        <v>0.95910406086235145</v>
      </c>
      <c r="N7" s="55">
        <f t="shared" si="7"/>
        <v>0.96185727023546108</v>
      </c>
      <c r="O7" s="55">
        <f t="shared" si="7"/>
        <v>1.3192409751053764</v>
      </c>
      <c r="P7" s="55">
        <f t="shared" si="7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2"/>
        <v>0</v>
      </c>
      <c r="AD7" s="53">
        <f t="shared" si="3"/>
        <v>0</v>
      </c>
      <c r="AE7" s="53">
        <f t="shared" si="4"/>
        <v>0</v>
      </c>
      <c r="AF7" s="53">
        <f t="shared" si="5"/>
        <v>0</v>
      </c>
      <c r="AG7" s="55">
        <f>'31.12.2018'!AM7</f>
        <v>0.9245650212357317</v>
      </c>
      <c r="AH7" s="55">
        <f t="shared" si="6"/>
        <v>1.0993674792544803</v>
      </c>
      <c r="AI7" s="55">
        <f>'31.12.2018'!AO7</f>
        <v>1.1052542996896859</v>
      </c>
      <c r="AJ7" s="55">
        <f t="shared" si="1"/>
        <v>1.6965011825839753</v>
      </c>
    </row>
    <row r="8" spans="1:36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7"/>
        <v>0.95910406086235145</v>
      </c>
      <c r="N8" s="55">
        <f t="shared" si="7"/>
        <v>0.96185727023546108</v>
      </c>
      <c r="O8" s="55">
        <f t="shared" si="7"/>
        <v>1.3192409751053764</v>
      </c>
      <c r="P8" s="55">
        <f t="shared" si="7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8">W8/B8</f>
        <v>0</v>
      </c>
      <c r="AD8" s="53">
        <f t="shared" ref="AD8" si="9">Z8/E8</f>
        <v>0</v>
      </c>
      <c r="AE8" s="53">
        <f t="shared" ref="AE8" si="10">(X8+Y8)/(C8+D8)</f>
        <v>0</v>
      </c>
      <c r="AF8" s="53">
        <f t="shared" ref="AF8" si="11">(AA8+AB8)/(F8+G8)</f>
        <v>0</v>
      </c>
      <c r="AG8" s="55">
        <f>'31.12.2018'!AM8</f>
        <v>1.1285153968121504</v>
      </c>
      <c r="AH8" s="55">
        <f t="shared" ref="AH8" si="12">(T8+Z8)/E8</f>
        <v>1.0993674792544803</v>
      </c>
      <c r="AI8" s="55">
        <f>'31.12.2018'!AO8</f>
        <v>1.0367409423371321</v>
      </c>
      <c r="AJ8" s="55">
        <f t="shared" ref="AJ8" si="13">(U8+V8+AA8+AB8)/(F8+G8)</f>
        <v>1.6965011825839753</v>
      </c>
    </row>
    <row r="9" spans="1:36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2"/>
        <v>0</v>
      </c>
      <c r="AD9" s="53">
        <f t="shared" si="3"/>
        <v>0</v>
      </c>
      <c r="AE9" s="53">
        <f t="shared" si="4"/>
        <v>0</v>
      </c>
      <c r="AF9" s="53">
        <f t="shared" si="5"/>
        <v>0</v>
      </c>
      <c r="AG9" s="55">
        <f>'31.12.2018'!AM9</f>
        <v>1.2709369904252203</v>
      </c>
      <c r="AH9" s="55">
        <f t="shared" si="6"/>
        <v>1.2995790594155217</v>
      </c>
      <c r="AI9" s="55">
        <f>'31.12.2018'!AO9</f>
        <v>1.2880641653072322</v>
      </c>
      <c r="AJ9" s="55">
        <f t="shared" si="1"/>
        <v>1.5630771489392941</v>
      </c>
    </row>
    <row r="10" spans="1:36" x14ac:dyDescent="0.25">
      <c r="A10" s="61" t="s">
        <v>33</v>
      </c>
      <c r="B10" s="53">
        <v>12.874000000000001</v>
      </c>
      <c r="C10" s="53">
        <v>3.2320000000000002</v>
      </c>
      <c r="D10" s="53">
        <v>0</v>
      </c>
      <c r="E10" s="53">
        <v>12.874000000000001</v>
      </c>
      <c r="F10" s="53">
        <v>3.2320000000000002</v>
      </c>
      <c r="G10" s="53">
        <v>0</v>
      </c>
      <c r="H10" s="53">
        <v>44.454999999999998</v>
      </c>
      <c r="I10" s="53">
        <v>0.95</v>
      </c>
      <c r="J10" s="53">
        <v>0.95</v>
      </c>
      <c r="K10" s="53">
        <v>1.1299999999999999</v>
      </c>
      <c r="L10" s="49">
        <v>0</v>
      </c>
      <c r="M10" s="53">
        <v>1.1399999999999999</v>
      </c>
      <c r="N10" s="53">
        <v>1.1399999999999999</v>
      </c>
      <c r="O10" s="53">
        <v>1.36</v>
      </c>
      <c r="P10" s="49">
        <v>0</v>
      </c>
      <c r="Q10" s="53">
        <v>9.3949999999999996</v>
      </c>
      <c r="R10" s="53">
        <v>2.911</v>
      </c>
      <c r="S10" s="53">
        <v>0</v>
      </c>
      <c r="T10" s="53">
        <v>15.593999999999999</v>
      </c>
      <c r="U10" s="53">
        <v>3.556</v>
      </c>
      <c r="V10" s="49">
        <v>9.2550000000000008</v>
      </c>
      <c r="W10" s="53"/>
      <c r="X10" s="53"/>
      <c r="Y10" s="53"/>
      <c r="Z10" s="53"/>
      <c r="AA10" s="53"/>
      <c r="AB10" s="53"/>
      <c r="AC10" s="53">
        <f t="shared" si="2"/>
        <v>0</v>
      </c>
      <c r="AD10" s="53">
        <f t="shared" si="3"/>
        <v>0</v>
      </c>
      <c r="AE10" s="53">
        <f t="shared" si="4"/>
        <v>0</v>
      </c>
      <c r="AF10" s="53">
        <f t="shared" si="5"/>
        <v>0</v>
      </c>
      <c r="AG10" s="55">
        <f>'31.12.2018'!AM10</f>
        <v>0.94798901631400423</v>
      </c>
      <c r="AH10" s="55">
        <f t="shared" si="6"/>
        <v>1.2112785459064781</v>
      </c>
      <c r="AI10" s="55">
        <f>'31.12.2018'!AO10</f>
        <v>0.94805038992201551</v>
      </c>
      <c r="AJ10" s="55">
        <f t="shared" si="1"/>
        <v>3.9637995049504946</v>
      </c>
    </row>
    <row r="11" spans="1:36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2"/>
        <v>1.0967769959169489E-2</v>
      </c>
      <c r="AD11" s="53">
        <f t="shared" si="3"/>
        <v>0</v>
      </c>
      <c r="AE11" s="53">
        <f t="shared" si="4"/>
        <v>0.10334020974245813</v>
      </c>
      <c r="AF11" s="53">
        <f t="shared" si="5"/>
        <v>0</v>
      </c>
      <c r="AG11" s="55">
        <f>'31.12.2018'!AM11</f>
        <v>1.2197438384290118</v>
      </c>
      <c r="AH11" s="55">
        <f t="shared" si="6"/>
        <v>0.79558602983379723</v>
      </c>
      <c r="AI11" s="55">
        <f>'31.12.2018'!AO11</f>
        <v>1.5679715159765872</v>
      </c>
      <c r="AJ11" s="55">
        <f t="shared" si="1"/>
        <v>0.84199271802577591</v>
      </c>
    </row>
    <row r="12" spans="1:36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40.485999999999997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2"/>
        <v>0</v>
      </c>
      <c r="AD12" s="53">
        <f t="shared" si="3"/>
        <v>0</v>
      </c>
      <c r="AE12" s="53">
        <f t="shared" si="4"/>
        <v>0</v>
      </c>
      <c r="AF12" s="53">
        <f t="shared" si="5"/>
        <v>0</v>
      </c>
      <c r="AG12" s="55">
        <f>'31.12.2018'!AM12</f>
        <v>1.0987400400361109</v>
      </c>
      <c r="AH12" s="55">
        <f t="shared" si="6"/>
        <v>1.299988393108823</v>
      </c>
      <c r="AI12" s="55">
        <f>'31.12.2018'!AO12</f>
        <v>1.0972785031767474</v>
      </c>
      <c r="AJ12" s="55">
        <f t="shared" si="1"/>
        <v>1.7523994811932551</v>
      </c>
    </row>
    <row r="13" spans="1:36" x14ac:dyDescent="0.25">
      <c r="A13" s="61" t="s">
        <v>36</v>
      </c>
      <c r="B13" s="53">
        <v>36.872999999999998</v>
      </c>
      <c r="C13" s="53">
        <v>11.788</v>
      </c>
      <c r="D13" s="53">
        <v>0</v>
      </c>
      <c r="E13" s="53">
        <v>36.313000000000002</v>
      </c>
      <c r="F13" s="53">
        <v>7.87</v>
      </c>
      <c r="G13" s="53">
        <v>0</v>
      </c>
      <c r="H13" s="53"/>
      <c r="I13" s="53">
        <v>0.8</v>
      </c>
      <c r="J13" s="53">
        <v>0.8</v>
      </c>
      <c r="K13" s="53">
        <v>1.6</v>
      </c>
      <c r="L13" s="53">
        <v>1.6</v>
      </c>
      <c r="M13" s="53">
        <v>0.96</v>
      </c>
      <c r="N13" s="53">
        <v>0.96</v>
      </c>
      <c r="O13" s="53">
        <v>1.92</v>
      </c>
      <c r="P13" s="53">
        <v>1.92</v>
      </c>
      <c r="Q13" s="53">
        <v>25.811</v>
      </c>
      <c r="R13" s="53">
        <v>8.2520000000000007</v>
      </c>
      <c r="S13" s="53">
        <v>0</v>
      </c>
      <c r="T13" s="53">
        <v>53.38</v>
      </c>
      <c r="U13" s="53">
        <v>11.569000000000001</v>
      </c>
      <c r="V13" s="53"/>
      <c r="W13" s="53"/>
      <c r="X13" s="53"/>
      <c r="Y13" s="53"/>
      <c r="Z13" s="53"/>
      <c r="AA13" s="53"/>
      <c r="AB13" s="53"/>
      <c r="AC13" s="53">
        <f t="shared" si="2"/>
        <v>0</v>
      </c>
      <c r="AD13" s="53">
        <f t="shared" si="3"/>
        <v>0</v>
      </c>
      <c r="AE13" s="53">
        <f t="shared" si="4"/>
        <v>0</v>
      </c>
      <c r="AF13" s="53">
        <f t="shared" si="5"/>
        <v>0</v>
      </c>
      <c r="AG13" s="55">
        <f>'31.12.2018'!AM13</f>
        <v>1.1574684006626401</v>
      </c>
      <c r="AH13" s="55">
        <f t="shared" si="6"/>
        <v>1.4699969707818137</v>
      </c>
      <c r="AI13" s="55">
        <f>'31.12.2018'!AO13</f>
        <v>0.89002419034552482</v>
      </c>
      <c r="AJ13" s="55">
        <f t="shared" si="1"/>
        <v>1.470012706480305</v>
      </c>
    </row>
    <row r="14" spans="1:36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2"/>
        <v>0</v>
      </c>
      <c r="AD14" s="53">
        <f t="shared" si="3"/>
        <v>0</v>
      </c>
      <c r="AE14" s="53">
        <f t="shared" si="4"/>
        <v>0</v>
      </c>
      <c r="AF14" s="53">
        <f t="shared" si="5"/>
        <v>0</v>
      </c>
      <c r="AG14" s="55">
        <f>'31.12.2018'!AM14</f>
        <v>1.3600045387066577</v>
      </c>
      <c r="AH14" s="55">
        <f t="shared" si="6"/>
        <v>1.3016703656114941</v>
      </c>
      <c r="AI14" s="55">
        <f>'31.12.2018'!AO14</f>
        <v>1.4299891131396032</v>
      </c>
      <c r="AJ14" s="55">
        <f t="shared" si="1"/>
        <v>1.3286790266512165</v>
      </c>
    </row>
    <row r="15" spans="1:36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>
        <f>'31.12.2018'!AM15</f>
        <v>1.4206528619224161</v>
      </c>
      <c r="AH15" s="55" t="e">
        <f t="shared" ref="AH15" si="14">(T15+Z15)/E15</f>
        <v>#DIV/0!</v>
      </c>
      <c r="AI15" s="55">
        <f>'31.12.2018'!AO15</f>
        <v>1.4325026511134678</v>
      </c>
      <c r="AJ15" s="55"/>
    </row>
    <row r="16" spans="1:36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2"/>
        <v>0.11849604637715984</v>
      </c>
      <c r="AD16" s="53">
        <f t="shared" si="3"/>
        <v>0.11882713454940048</v>
      </c>
      <c r="AE16" s="53">
        <f t="shared" si="4"/>
        <v>7.8722718617255022E-2</v>
      </c>
      <c r="AF16" s="53">
        <f t="shared" si="5"/>
        <v>6.5533099571828804E-2</v>
      </c>
      <c r="AG16" s="55">
        <f>'31.12.2018'!AM16</f>
        <v>1.1200442517095015</v>
      </c>
      <c r="AH16" s="55">
        <f t="shared" si="6"/>
        <v>1.0288065780725819</v>
      </c>
      <c r="AI16" s="55">
        <f>'31.12.2018'!AO16</f>
        <v>1.1199999999999999</v>
      </c>
      <c r="AJ16" s="55">
        <f t="shared" si="1"/>
        <v>0.97554666713653904</v>
      </c>
    </row>
    <row r="17" spans="1:36" x14ac:dyDescent="0.25">
      <c r="A17" s="61" t="s">
        <v>40</v>
      </c>
      <c r="B17" s="53">
        <v>48.48</v>
      </c>
      <c r="C17" s="53">
        <v>6.8789999999999996</v>
      </c>
      <c r="D17" s="53">
        <v>7.4999999999999997E-2</v>
      </c>
      <c r="E17" s="53">
        <v>46.804000000000002</v>
      </c>
      <c r="F17" s="53">
        <v>4.7789999999999999</v>
      </c>
      <c r="G17" s="53"/>
      <c r="H17" s="53"/>
      <c r="I17" s="53">
        <v>1.1399999999999999</v>
      </c>
      <c r="J17" s="53">
        <v>1.68</v>
      </c>
      <c r="K17" s="53">
        <v>1.68</v>
      </c>
      <c r="L17" s="53">
        <v>2.71</v>
      </c>
      <c r="M17" s="53">
        <v>1.3680000000000001</v>
      </c>
      <c r="N17" s="53">
        <v>2.016</v>
      </c>
      <c r="O17" s="53">
        <v>2.016</v>
      </c>
      <c r="P17" s="53">
        <v>3.2519999999999998</v>
      </c>
      <c r="Q17" s="53">
        <v>55.267000000000003</v>
      </c>
      <c r="R17" s="53">
        <v>11.557</v>
      </c>
      <c r="S17" s="53">
        <v>0.126</v>
      </c>
      <c r="T17" s="53">
        <v>78.631</v>
      </c>
      <c r="U17" s="53">
        <v>12.951000000000001</v>
      </c>
      <c r="V17" s="53">
        <v>0</v>
      </c>
      <c r="W17" s="53">
        <v>7.694</v>
      </c>
      <c r="X17" s="53">
        <v>0.33</v>
      </c>
      <c r="Y17" s="53">
        <v>1.9E-2</v>
      </c>
      <c r="Z17" s="53">
        <v>0</v>
      </c>
      <c r="AA17" s="53">
        <v>0</v>
      </c>
      <c r="AB17" s="53">
        <v>0</v>
      </c>
      <c r="AC17" s="53">
        <f t="shared" si="2"/>
        <v>0.15870462046204623</v>
      </c>
      <c r="AD17" s="53">
        <f t="shared" si="3"/>
        <v>0</v>
      </c>
      <c r="AE17" s="53">
        <f t="shared" si="4"/>
        <v>5.0186942766752951E-2</v>
      </c>
      <c r="AF17" s="53">
        <f t="shared" si="5"/>
        <v>0</v>
      </c>
      <c r="AG17" s="55">
        <f>'31.12.2018'!AM17</f>
        <v>1.4684509931922038</v>
      </c>
      <c r="AH17" s="55">
        <f t="shared" si="6"/>
        <v>1.6800059823946671</v>
      </c>
      <c r="AI17" s="55">
        <f>'31.12.2018'!AO17</f>
        <v>1.8734596020139054</v>
      </c>
      <c r="AJ17" s="55">
        <f t="shared" si="1"/>
        <v>2.7099811676082863</v>
      </c>
    </row>
    <row r="18" spans="1:36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/>
      <c r="AB18" s="53"/>
      <c r="AC18" s="53">
        <f t="shared" si="2"/>
        <v>6.9620980531868437E-2</v>
      </c>
      <c r="AD18" s="53">
        <f t="shared" si="3"/>
        <v>3.5452454816255349E-2</v>
      </c>
      <c r="AE18" s="53">
        <f t="shared" si="4"/>
        <v>6.6647452986526398E-2</v>
      </c>
      <c r="AF18" s="53">
        <f t="shared" si="5"/>
        <v>0</v>
      </c>
      <c r="AG18" s="55">
        <f>'31.12.2018'!AM18</f>
        <v>1.1014159077562662</v>
      </c>
      <c r="AH18" s="55">
        <f t="shared" si="6"/>
        <v>1.0327977651216991</v>
      </c>
      <c r="AI18" s="55">
        <f>'31.12.2018'!AO18</f>
        <v>1.2698948162427188</v>
      </c>
      <c r="AJ18" s="55">
        <f t="shared" si="1"/>
        <v>0.79187448988845555</v>
      </c>
    </row>
    <row r="19" spans="1:36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2"/>
        <v>0</v>
      </c>
      <c r="AD19" s="53">
        <f t="shared" si="3"/>
        <v>0</v>
      </c>
      <c r="AE19" s="53">
        <f t="shared" si="4"/>
        <v>0</v>
      </c>
      <c r="AF19" s="53">
        <f t="shared" si="5"/>
        <v>0</v>
      </c>
      <c r="AG19" s="55">
        <f>'31.12.2018'!AM19</f>
        <v>1.29991223304217</v>
      </c>
      <c r="AH19" s="55">
        <f t="shared" si="6"/>
        <v>1.639238711141366</v>
      </c>
      <c r="AI19" s="55">
        <f>'31.12.2018'!AO19</f>
        <v>1.3039635313359086</v>
      </c>
      <c r="AJ19" s="55">
        <f t="shared" si="1"/>
        <v>1.8885325850953669</v>
      </c>
    </row>
    <row r="20" spans="1:36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5">
        <f>'31.12.2018'!AM20</f>
        <v>0.90288505278164666</v>
      </c>
      <c r="AH20" s="55" t="e">
        <f t="shared" si="6"/>
        <v>#DIV/0!</v>
      </c>
      <c r="AI20" s="55">
        <f>'31.12.2018'!AO20</f>
        <v>0.95484208960436701</v>
      </c>
      <c r="AJ20" s="55"/>
    </row>
    <row r="21" spans="1:36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2"/>
        <v>5.9174293350611491E-3</v>
      </c>
      <c r="AD21" s="53">
        <f t="shared" si="3"/>
        <v>5.889227873654812E-3</v>
      </c>
      <c r="AE21" s="53">
        <f t="shared" si="4"/>
        <v>1.4628205774898577E-3</v>
      </c>
      <c r="AF21" s="53">
        <f t="shared" si="5"/>
        <v>9.4609936746499425E-4</v>
      </c>
      <c r="AG21" s="55">
        <f>'31.12.2018'!AM21</f>
        <v>0</v>
      </c>
      <c r="AH21" s="55">
        <f t="shared" si="6"/>
        <v>1.6710127549342522</v>
      </c>
      <c r="AI21" s="55">
        <f>'31.12.2018'!AO21</f>
        <v>0</v>
      </c>
      <c r="AJ21" s="55">
        <f t="shared" si="1"/>
        <v>2.1638049413418394</v>
      </c>
    </row>
    <row r="22" spans="1:36" x14ac:dyDescent="0.25">
      <c r="A22" s="61" t="s">
        <v>45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2"/>
        <v>0</v>
      </c>
      <c r="AD22" s="53">
        <f t="shared" si="3"/>
        <v>0</v>
      </c>
      <c r="AE22" s="53">
        <f t="shared" si="4"/>
        <v>0</v>
      </c>
      <c r="AF22" s="53">
        <f t="shared" si="5"/>
        <v>0</v>
      </c>
      <c r="AG22" s="55">
        <f>'31.12.2018'!AM22</f>
        <v>1.3299991266330675</v>
      </c>
      <c r="AH22" s="55">
        <f t="shared" si="6"/>
        <v>1.0803619386026526</v>
      </c>
      <c r="AI22" s="55">
        <f>'31.12.2018'!AO22</f>
        <v>1.3300124155891351</v>
      </c>
      <c r="AJ22" s="55">
        <f t="shared" si="1"/>
        <v>1.621903520208605</v>
      </c>
    </row>
    <row r="23" spans="1:36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2"/>
        <v>0</v>
      </c>
      <c r="AD23" s="53">
        <f t="shared" si="3"/>
        <v>0</v>
      </c>
      <c r="AE23" s="53">
        <f t="shared" si="4"/>
        <v>0</v>
      </c>
      <c r="AF23" s="53">
        <f t="shared" si="5"/>
        <v>0</v>
      </c>
      <c r="AG23" s="55">
        <f>'31.12.2018'!AM23</f>
        <v>0.95267095195238993</v>
      </c>
      <c r="AH23" s="55">
        <f t="shared" si="6"/>
        <v>1.373533830622842</v>
      </c>
      <c r="AI23" s="55">
        <f>'31.12.2018'!AO23</f>
        <v>0.97741929418842943</v>
      </c>
      <c r="AJ23" s="55">
        <f t="shared" si="1"/>
        <v>1.3716961563845502</v>
      </c>
    </row>
    <row r="24" spans="1:36" x14ac:dyDescent="0.25">
      <c r="A24" s="61" t="s">
        <v>47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2"/>
        <v>0</v>
      </c>
      <c r="AD24" s="53">
        <f t="shared" si="3"/>
        <v>0</v>
      </c>
      <c r="AE24" s="53">
        <f t="shared" si="4"/>
        <v>0</v>
      </c>
      <c r="AF24" s="53">
        <f t="shared" si="5"/>
        <v>0</v>
      </c>
      <c r="AG24" s="55">
        <f>'31.12.2018'!AM24</f>
        <v>0.87477924588138578</v>
      </c>
      <c r="AH24" s="55">
        <f t="shared" si="6"/>
        <v>0.8942359891425834</v>
      </c>
      <c r="AI24" s="55">
        <f>'31.12.2018'!AO24</f>
        <v>0.69062641713126338</v>
      </c>
      <c r="AJ24" s="55">
        <f t="shared" si="1"/>
        <v>1.469523117889131</v>
      </c>
    </row>
    <row r="25" spans="1:36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2"/>
        <v>0</v>
      </c>
      <c r="AD25" s="53">
        <f t="shared" si="3"/>
        <v>0</v>
      </c>
      <c r="AE25" s="53">
        <f t="shared" si="4"/>
        <v>0</v>
      </c>
      <c r="AF25" s="53">
        <f t="shared" si="5"/>
        <v>0</v>
      </c>
      <c r="AG25" s="55">
        <f>'31.12.2018'!AM25</f>
        <v>1.513599901175853</v>
      </c>
      <c r="AH25" s="55">
        <f t="shared" si="6"/>
        <v>1.2315762399589876</v>
      </c>
      <c r="AI25" s="55">
        <f>'31.12.2018'!AO25</f>
        <v>1.5586221389419119</v>
      </c>
      <c r="AJ25" s="55">
        <f t="shared" si="1"/>
        <v>1.1102469659745284</v>
      </c>
    </row>
    <row r="26" spans="1:36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2"/>
        <v>0</v>
      </c>
      <c r="AD26" s="53">
        <f t="shared" si="3"/>
        <v>0</v>
      </c>
      <c r="AE26" s="53">
        <f t="shared" si="4"/>
        <v>0</v>
      </c>
      <c r="AF26" s="53">
        <f t="shared" si="5"/>
        <v>0</v>
      </c>
      <c r="AG26" s="55">
        <f>'31.12.2018'!AM26</f>
        <v>0.74656990408435486</v>
      </c>
      <c r="AH26" s="55">
        <f t="shared" si="6"/>
        <v>1.199990389697756</v>
      </c>
      <c r="AI26" s="55">
        <f>'31.12.2018'!AO26</f>
        <v>0.98750596740094121</v>
      </c>
      <c r="AJ26" s="55">
        <f>(U26+V26+AA26+AB26)/(F26+G26)</f>
        <v>1.4598601909633748</v>
      </c>
    </row>
    <row r="27" spans="1:36" x14ac:dyDescent="0.25">
      <c r="A27" s="64" t="s">
        <v>50</v>
      </c>
      <c r="B27" s="53">
        <v>86.088999999999999</v>
      </c>
      <c r="C27" s="53">
        <v>29.715</v>
      </c>
      <c r="D27" s="53">
        <v>1.278</v>
      </c>
      <c r="E27" s="53">
        <v>82.031999999999996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3">
        <f>I27*1.2</f>
        <v>0.74399999999999999</v>
      </c>
      <c r="N27" s="53">
        <f>J27*1.2</f>
        <v>1.08</v>
      </c>
      <c r="O27" s="53">
        <f>K27*1.2</f>
        <v>1.464</v>
      </c>
      <c r="P27" s="53">
        <f>L27*1.2</f>
        <v>1.6559999999999999</v>
      </c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2"/>
        <v>0</v>
      </c>
      <c r="AD27" s="53">
        <f t="shared" si="3"/>
        <v>0</v>
      </c>
      <c r="AE27" s="53">
        <f t="shared" si="4"/>
        <v>0</v>
      </c>
      <c r="AF27" s="53">
        <f t="shared" si="5"/>
        <v>0</v>
      </c>
      <c r="AG27" s="55">
        <f>'31.12.2018'!AM27</f>
        <v>1.1999991134103336</v>
      </c>
      <c r="AH27" s="55">
        <f t="shared" si="6"/>
        <v>1.221218548858982</v>
      </c>
      <c r="AI27" s="55">
        <f>'31.12.2018'!AO27</f>
        <v>1.1999979769575464</v>
      </c>
      <c r="AJ27" s="55">
        <f t="shared" ref="AJ27:AJ42" si="15">(U27+V27+AA27+AB27)/(F27+G27)</f>
        <v>1.4802664508036163</v>
      </c>
    </row>
    <row r="28" spans="1:36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2"/>
        <v>0</v>
      </c>
      <c r="AD28" s="53">
        <f t="shared" si="3"/>
        <v>0</v>
      </c>
      <c r="AE28" s="53">
        <f t="shared" si="4"/>
        <v>0</v>
      </c>
      <c r="AF28" s="53">
        <f t="shared" si="5"/>
        <v>0</v>
      </c>
      <c r="AG28" s="55">
        <f>'31.12.2018'!AM28</f>
        <v>0.75998768918430049</v>
      </c>
      <c r="AH28" s="55">
        <f t="shared" si="6"/>
        <v>0.64499962748652739</v>
      </c>
      <c r="AI28" s="55">
        <f>'31.12.2018'!AO28</f>
        <v>0.75999478707193846</v>
      </c>
      <c r="AJ28" s="55">
        <f t="shared" si="15"/>
        <v>0.64499891706945289</v>
      </c>
    </row>
    <row r="29" spans="1:36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 t="e">
        <f>'31.12.2018'!AM29</f>
        <v>#DIV/0!</v>
      </c>
      <c r="AH29" s="55" t="e">
        <f t="shared" ref="AH29" si="16">(T29+Z29)/E29</f>
        <v>#DIV/0!</v>
      </c>
      <c r="AI29" s="55" t="e">
        <f>'31.12.2018'!AO29</f>
        <v>#DIV/0!</v>
      </c>
      <c r="AJ29" s="55"/>
    </row>
    <row r="30" spans="1:36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>
        <f>'31.12.2018'!AM30</f>
        <v>0.96063100137174207</v>
      </c>
      <c r="AH30" s="55" t="e">
        <f t="shared" ref="AH30" si="17">(T30+Z30)/E30</f>
        <v>#DIV/0!</v>
      </c>
      <c r="AI30" s="55">
        <f>'31.12.2018'!AO30</f>
        <v>0.96162377994676129</v>
      </c>
      <c r="AJ30" s="55"/>
    </row>
    <row r="31" spans="1:36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2"/>
        <v>0</v>
      </c>
      <c r="AD31" s="53">
        <f t="shared" si="3"/>
        <v>0</v>
      </c>
      <c r="AE31" s="53">
        <f t="shared" si="4"/>
        <v>0</v>
      </c>
      <c r="AF31" s="53">
        <f t="shared" si="5"/>
        <v>0</v>
      </c>
      <c r="AG31" s="55">
        <f>'31.12.2018'!AM31</f>
        <v>1.2538125614468298</v>
      </c>
      <c r="AH31" s="55">
        <f t="shared" si="6"/>
        <v>0.91472088969194165</v>
      </c>
      <c r="AI31" s="55">
        <f>'31.12.2018'!AO31</f>
        <v>1.4423984407057859</v>
      </c>
      <c r="AJ31" s="55">
        <f t="shared" si="15"/>
        <v>0.93633352400462933</v>
      </c>
    </row>
    <row r="32" spans="1:36" x14ac:dyDescent="0.25">
      <c r="A32" s="61" t="s">
        <v>55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>'31.12.2018'!AM32</f>
        <v>0.93004296483897864</v>
      </c>
      <c r="AH32" s="55">
        <f t="shared" si="6"/>
        <v>1.1442430025445292</v>
      </c>
      <c r="AI32" s="55">
        <f>'31.12.2018'!AO32</f>
        <v>1.0376768830509551</v>
      </c>
      <c r="AJ32" s="55">
        <f t="shared" si="15"/>
        <v>1.9963516839043864</v>
      </c>
    </row>
    <row r="33" spans="1:36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2"/>
        <v>0</v>
      </c>
      <c r="AD33" s="53">
        <f t="shared" si="3"/>
        <v>0</v>
      </c>
      <c r="AE33" s="53">
        <f t="shared" si="4"/>
        <v>0</v>
      </c>
      <c r="AF33" s="53">
        <f t="shared" si="5"/>
        <v>0</v>
      </c>
      <c r="AG33" s="55">
        <f>'31.12.2018'!AM33</f>
        <v>1.1199993906340455</v>
      </c>
      <c r="AH33" s="55">
        <f t="shared" si="6"/>
        <v>0.58309961193879967</v>
      </c>
      <c r="AI33" s="55">
        <f>'31.12.2018'!AO33</f>
        <v>1.6927796679170664</v>
      </c>
      <c r="AJ33" s="55">
        <f t="shared" si="15"/>
        <v>0.85747002559612018</v>
      </c>
    </row>
    <row r="34" spans="1:36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2"/>
        <v>0</v>
      </c>
      <c r="AD34" s="53">
        <f t="shared" si="3"/>
        <v>0</v>
      </c>
      <c r="AE34" s="53">
        <f t="shared" si="4"/>
        <v>0</v>
      </c>
      <c r="AF34" s="53">
        <f t="shared" si="5"/>
        <v>0</v>
      </c>
      <c r="AG34" s="55">
        <f>'31.12.2018'!AM34</f>
        <v>0.95006050796674268</v>
      </c>
      <c r="AH34" s="55">
        <f t="shared" si="6"/>
        <v>1.3636522205823158</v>
      </c>
      <c r="AI34" s="55">
        <f>'31.12.2018'!AO34</f>
        <v>2.3201158990650681</v>
      </c>
      <c r="AJ34" s="55">
        <f t="shared" si="15"/>
        <v>2.2919541323690349</v>
      </c>
    </row>
    <row r="35" spans="1:36" x14ac:dyDescent="0.25">
      <c r="A35" s="61" t="s">
        <v>58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2"/>
        <v>0</v>
      </c>
      <c r="AD35" s="53">
        <f t="shared" si="3"/>
        <v>0</v>
      </c>
      <c r="AE35" s="53">
        <f t="shared" si="4"/>
        <v>0</v>
      </c>
      <c r="AF35" s="53">
        <f t="shared" si="5"/>
        <v>0</v>
      </c>
      <c r="AG35" s="55">
        <f>'31.12.2018'!AM35</f>
        <v>0.90000126484613141</v>
      </c>
      <c r="AH35" s="55">
        <f t="shared" si="6"/>
        <v>0.78000585480093676</v>
      </c>
      <c r="AI35" s="55">
        <f>'31.12.2018'!AO35</f>
        <v>1.0499926026549744</v>
      </c>
      <c r="AJ35" s="55">
        <f t="shared" si="15"/>
        <v>1.4646207974980454</v>
      </c>
    </row>
    <row r="36" spans="1:36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2"/>
        <v>0</v>
      </c>
      <c r="AD36" s="53">
        <f t="shared" si="3"/>
        <v>0</v>
      </c>
      <c r="AE36" s="53">
        <f t="shared" si="4"/>
        <v>0</v>
      </c>
      <c r="AF36" s="53">
        <f t="shared" si="5"/>
        <v>0</v>
      </c>
      <c r="AG36" s="55">
        <f>'31.12.2018'!AM36</f>
        <v>0.61692115729298647</v>
      </c>
      <c r="AH36" s="55">
        <f t="shared" si="6"/>
        <v>1.125046284051838</v>
      </c>
      <c r="AI36" s="55">
        <f>'31.12.2018'!AO36</f>
        <v>0.61598625682557206</v>
      </c>
      <c r="AJ36" s="55">
        <f t="shared" si="15"/>
        <v>1.3250159948816378</v>
      </c>
    </row>
    <row r="37" spans="1:36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2"/>
        <v>0</v>
      </c>
      <c r="AD37" s="53">
        <f t="shared" si="3"/>
        <v>0</v>
      </c>
      <c r="AE37" s="53">
        <f t="shared" si="4"/>
        <v>0</v>
      </c>
      <c r="AF37" s="53">
        <f t="shared" si="5"/>
        <v>0</v>
      </c>
      <c r="AG37" s="55">
        <f>'31.12.2018'!AM37</f>
        <v>1.5812865795997646</v>
      </c>
      <c r="AH37" s="55">
        <f t="shared" si="6"/>
        <v>1.0000077174352295</v>
      </c>
      <c r="AI37" s="55">
        <f>'31.12.2018'!AO37</f>
        <v>1.5804729214340199</v>
      </c>
      <c r="AJ37" s="55">
        <f t="shared" si="15"/>
        <v>1.3255250168251249</v>
      </c>
    </row>
    <row r="38" spans="1:36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2"/>
        <v>0</v>
      </c>
      <c r="AD38" s="53">
        <f t="shared" si="3"/>
        <v>0</v>
      </c>
      <c r="AE38" s="53">
        <f t="shared" si="4"/>
        <v>0</v>
      </c>
      <c r="AF38" s="53">
        <f t="shared" si="5"/>
        <v>0</v>
      </c>
      <c r="AG38" s="55">
        <f>'31.12.2018'!AM38</f>
        <v>1.1371762409832198</v>
      </c>
      <c r="AH38" s="55">
        <f t="shared" si="6"/>
        <v>0.90181023221093604</v>
      </c>
      <c r="AI38" s="55">
        <f>'31.12.2018'!AO38</f>
        <v>1.2487630706452435</v>
      </c>
      <c r="AJ38" s="55">
        <f t="shared" si="15"/>
        <v>1.0535346012832263</v>
      </c>
    </row>
    <row r="39" spans="1:36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2"/>
        <v>0</v>
      </c>
      <c r="AD39" s="53">
        <f t="shared" si="3"/>
        <v>0</v>
      </c>
      <c r="AE39" s="53">
        <f t="shared" si="4"/>
        <v>0</v>
      </c>
      <c r="AF39" s="53">
        <f t="shared" si="5"/>
        <v>0</v>
      </c>
      <c r="AG39" s="55">
        <f>'31.12.2018'!AM39</f>
        <v>1.0136421460459946</v>
      </c>
      <c r="AH39" s="55">
        <f t="shared" si="6"/>
        <v>1.1770239741039215</v>
      </c>
      <c r="AI39" s="55">
        <f>'31.12.2018'!AO39</f>
        <v>1.043227665706052</v>
      </c>
      <c r="AJ39" s="55">
        <f t="shared" si="15"/>
        <v>1.1675336016402156</v>
      </c>
    </row>
    <row r="40" spans="1:36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10.736000000000001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18">W40/B40</f>
        <v>0</v>
      </c>
      <c r="AD40" s="53">
        <f t="shared" ref="AD40" si="19">Z40/E40</f>
        <v>0</v>
      </c>
      <c r="AE40" s="53">
        <f t="shared" ref="AE40" si="20">(X40+Y40)/(C40+D40)</f>
        <v>0</v>
      </c>
      <c r="AF40" s="53">
        <f t="shared" ref="AF40" si="21">(AA40+AB40)/(F40+G40)</f>
        <v>0</v>
      </c>
      <c r="AG40" s="55">
        <f>'31.12.2018'!AM40</f>
        <v>0.87930667045535271</v>
      </c>
      <c r="AH40" s="55">
        <f t="shared" ref="AH40" si="22">(T40+Z40)/E40</f>
        <v>0.9519913367825773</v>
      </c>
      <c r="AI40" s="55">
        <f>'31.12.2018'!AO40</f>
        <v>0.8793018659590065</v>
      </c>
      <c r="AJ40" s="55">
        <f t="shared" ref="AJ40" si="23">(U40+V40+AA40+AB40)/(F40+G40)</f>
        <v>0.97857675111773468</v>
      </c>
    </row>
    <row r="41" spans="1:36" x14ac:dyDescent="0.25">
      <c r="A41" s="61" t="s">
        <v>64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2"/>
        <v>0</v>
      </c>
      <c r="AD41" s="53">
        <f t="shared" si="3"/>
        <v>0</v>
      </c>
      <c r="AE41" s="53">
        <f t="shared" si="4"/>
        <v>0</v>
      </c>
      <c r="AF41" s="53">
        <f t="shared" si="5"/>
        <v>0</v>
      </c>
      <c r="AG41" s="55">
        <f>'31.12.2018'!AM41</f>
        <v>1.2617815437532887</v>
      </c>
      <c r="AH41" s="55">
        <f t="shared" si="6"/>
        <v>1.8533815584036302</v>
      </c>
      <c r="AI41" s="55">
        <f>'31.12.2018'!AO41</f>
        <v>1.4650305982265519</v>
      </c>
      <c r="AJ41" s="55">
        <f t="shared" si="15"/>
        <v>1.8465690408648316</v>
      </c>
    </row>
    <row r="42" spans="1:36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2"/>
        <v>0</v>
      </c>
      <c r="AD42" s="53">
        <f t="shared" si="3"/>
        <v>0</v>
      </c>
      <c r="AE42" s="53">
        <f t="shared" si="4"/>
        <v>0</v>
      </c>
      <c r="AF42" s="53">
        <f t="shared" si="5"/>
        <v>0</v>
      </c>
      <c r="AG42" s="55">
        <f>'31.12.2018'!AM42</f>
        <v>0.76999969028741333</v>
      </c>
      <c r="AH42" s="55">
        <f t="shared" si="6"/>
        <v>0.97603269856618735</v>
      </c>
      <c r="AI42" s="55">
        <f>'31.12.2018'!AO42</f>
        <v>0.77000163795285681</v>
      </c>
      <c r="AJ42" s="55">
        <f t="shared" si="15"/>
        <v>1.2926315444776151</v>
      </c>
    </row>
    <row r="43" spans="1:36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24">W43/B43</f>
        <v>0</v>
      </c>
      <c r="AD43" s="53">
        <f t="shared" ref="AD43" si="25">Z43/E43</f>
        <v>0</v>
      </c>
      <c r="AE43" s="53">
        <f t="shared" ref="AE43" si="26">(X43+Y43)/(C43+D43)</f>
        <v>0</v>
      </c>
      <c r="AF43" s="53">
        <f t="shared" ref="AF43" si="27">(AA43+AB43)/(F43+G43)</f>
        <v>0</v>
      </c>
      <c r="AG43" s="55">
        <f>'31.12.2018'!AM43</f>
        <v>0.95322061191626417</v>
      </c>
      <c r="AH43" s="55">
        <f t="shared" ref="AH43" si="28">(T43+Z43)/E43</f>
        <v>0.97603269856618735</v>
      </c>
      <c r="AI43" s="55">
        <f>'31.12.2018'!AO43</f>
        <v>0.93377192982456148</v>
      </c>
      <c r="AJ43" s="55">
        <f t="shared" ref="AJ43" si="29">(U43+V43+AA43+AB43)/(F43+G43)</f>
        <v>1.2926315444776151</v>
      </c>
    </row>
    <row r="44" spans="1:36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0">W44/B44</f>
        <v>0</v>
      </c>
      <c r="AD44" s="53">
        <f t="shared" ref="AD44" si="31">Z44/E44</f>
        <v>0</v>
      </c>
      <c r="AE44" s="53">
        <f t="shared" ref="AE44" si="32">(X44+Y44)/(C44+D44)</f>
        <v>0</v>
      </c>
      <c r="AF44" s="53">
        <f t="shared" ref="AF44" si="33">(AA44+AB44)/(F44+G44)</f>
        <v>0</v>
      </c>
      <c r="AG44" s="55">
        <f>'31.12.2018'!AM44</f>
        <v>1.0134072259916687</v>
      </c>
      <c r="AH44" s="55">
        <f t="shared" ref="AH44" si="34">(T44+Z44)/E44</f>
        <v>0.97603269856618735</v>
      </c>
      <c r="AI44" s="55">
        <f>'31.12.2018'!AO44</f>
        <v>1.0136762845896523</v>
      </c>
      <c r="AJ44" s="55">
        <f t="shared" ref="AJ44" si="35">(U44+V44+AA44+AB44)/(F44+G44)</f>
        <v>1.2926315444776151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44"/>
  <sheetViews>
    <sheetView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A41" sqref="A41:XFD42"/>
    </sheetView>
  </sheetViews>
  <sheetFormatPr defaultRowHeight="15" x14ac:dyDescent="0.25"/>
  <cols>
    <col min="1" max="1" width="25.42578125" style="4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8" t="s">
        <v>0</v>
      </c>
      <c r="AD1" s="9"/>
      <c r="AE1" s="8" t="s">
        <v>0</v>
      </c>
      <c r="AF1" s="9"/>
      <c r="AG1" s="11" t="s">
        <v>3</v>
      </c>
      <c r="AH1" s="11" t="s">
        <v>3</v>
      </c>
      <c r="AI1" s="12"/>
      <c r="AJ1" s="13"/>
    </row>
    <row r="2" spans="1:36" x14ac:dyDescent="0.25">
      <c r="A2" s="2"/>
      <c r="B2" s="77" t="s">
        <v>6</v>
      </c>
      <c r="C2" s="78"/>
      <c r="D2" s="79"/>
      <c r="E2" s="77" t="s">
        <v>7</v>
      </c>
      <c r="F2" s="78"/>
      <c r="G2" s="78"/>
      <c r="H2" s="43"/>
      <c r="I2" s="42" t="s">
        <v>8</v>
      </c>
      <c r="J2" s="43"/>
      <c r="K2" s="41" t="s">
        <v>9</v>
      </c>
      <c r="L2" s="43"/>
      <c r="M2" s="41" t="s">
        <v>10</v>
      </c>
      <c r="N2" s="43"/>
      <c r="O2" s="41" t="s">
        <v>11</v>
      </c>
      <c r="P2" s="43"/>
      <c r="Q2" s="41" t="s">
        <v>12</v>
      </c>
      <c r="R2" s="42"/>
      <c r="S2" s="43"/>
      <c r="T2" s="41" t="s">
        <v>13</v>
      </c>
      <c r="U2" s="42"/>
      <c r="V2" s="43"/>
      <c r="W2" s="41" t="s">
        <v>14</v>
      </c>
      <c r="X2" s="42"/>
      <c r="Y2" s="43"/>
      <c r="Z2" s="80" t="s">
        <v>15</v>
      </c>
      <c r="AA2" s="81"/>
      <c r="AB2" s="82"/>
      <c r="AC2" s="8" t="s">
        <v>16</v>
      </c>
      <c r="AD2" s="9"/>
      <c r="AE2" s="8" t="s">
        <v>17</v>
      </c>
      <c r="AF2" s="9"/>
      <c r="AG2" s="11" t="s">
        <v>16</v>
      </c>
      <c r="AH2" s="11" t="s">
        <v>16</v>
      </c>
      <c r="AI2" s="13"/>
      <c r="AJ2" s="11" t="s">
        <v>17</v>
      </c>
    </row>
    <row r="3" spans="1:36" ht="21" x14ac:dyDescent="0.35">
      <c r="A3" s="3">
        <f>'31.12.2018'!A3</f>
        <v>43465</v>
      </c>
      <c r="B3" s="47" t="s">
        <v>19</v>
      </c>
      <c r="C3" s="47" t="s">
        <v>20</v>
      </c>
      <c r="D3" s="47" t="s">
        <v>21</v>
      </c>
      <c r="E3" s="7" t="s">
        <v>19</v>
      </c>
      <c r="F3" s="7" t="s">
        <v>22</v>
      </c>
      <c r="G3" s="7" t="s">
        <v>21</v>
      </c>
      <c r="H3" s="7" t="s">
        <v>23</v>
      </c>
      <c r="I3" s="47" t="s">
        <v>19</v>
      </c>
      <c r="J3" s="47" t="s">
        <v>20</v>
      </c>
      <c r="K3" s="47" t="s">
        <v>19</v>
      </c>
      <c r="L3" s="47" t="s">
        <v>20</v>
      </c>
      <c r="M3" s="47" t="s">
        <v>19</v>
      </c>
      <c r="N3" s="47" t="s">
        <v>20</v>
      </c>
      <c r="O3" s="47" t="s">
        <v>19</v>
      </c>
      <c r="P3" s="47" t="s">
        <v>20</v>
      </c>
      <c r="Q3" s="47" t="s">
        <v>19</v>
      </c>
      <c r="R3" s="47" t="s">
        <v>20</v>
      </c>
      <c r="S3" s="47" t="s">
        <v>24</v>
      </c>
      <c r="T3" s="47" t="s">
        <v>19</v>
      </c>
      <c r="U3" s="47" t="s">
        <v>20</v>
      </c>
      <c r="V3" s="47" t="s">
        <v>24</v>
      </c>
      <c r="W3" s="47" t="s">
        <v>19</v>
      </c>
      <c r="X3" s="47" t="s">
        <v>20</v>
      </c>
      <c r="Y3" s="47" t="s">
        <v>24</v>
      </c>
      <c r="Z3" s="47" t="s">
        <v>19</v>
      </c>
      <c r="AA3" s="47" t="s">
        <v>20</v>
      </c>
      <c r="AB3" s="47" t="s">
        <v>24</v>
      </c>
      <c r="AC3" s="10" t="s">
        <v>25</v>
      </c>
      <c r="AD3" s="10" t="s">
        <v>26</v>
      </c>
      <c r="AE3" s="10" t="s">
        <v>25</v>
      </c>
      <c r="AF3" s="10" t="s">
        <v>26</v>
      </c>
      <c r="AG3" s="14" t="s">
        <v>25</v>
      </c>
      <c r="AH3" s="14" t="s">
        <v>26</v>
      </c>
      <c r="AI3" s="14" t="s">
        <v>25</v>
      </c>
      <c r="AJ3" s="14" t="s">
        <v>26</v>
      </c>
    </row>
    <row r="4" spans="1:36" x14ac:dyDescent="0.25">
      <c r="A4" s="61" t="s">
        <v>27</v>
      </c>
      <c r="B4" s="53">
        <v>199.876</v>
      </c>
      <c r="C4" s="53">
        <v>69.174000000000007</v>
      </c>
      <c r="D4" s="53">
        <v>0</v>
      </c>
      <c r="E4" s="53">
        <v>198.52099999999999</v>
      </c>
      <c r="F4" s="53">
        <v>64.786000000000001</v>
      </c>
      <c r="G4" s="53">
        <v>0</v>
      </c>
      <c r="H4" s="53">
        <v>0</v>
      </c>
      <c r="I4" s="53">
        <v>1.33</v>
      </c>
      <c r="J4" s="53">
        <v>1.99</v>
      </c>
      <c r="K4" s="53">
        <v>2.1800000000000002</v>
      </c>
      <c r="L4" s="53">
        <v>3.07</v>
      </c>
      <c r="M4" s="53">
        <v>1.6</v>
      </c>
      <c r="N4" s="53">
        <v>2.38</v>
      </c>
      <c r="O4" s="53">
        <v>2.62</v>
      </c>
      <c r="P4" s="53">
        <v>3.68</v>
      </c>
      <c r="Q4" s="53">
        <v>267.30900000000003</v>
      </c>
      <c r="R4" s="53">
        <v>141.41499999999999</v>
      </c>
      <c r="S4" s="53">
        <v>0</v>
      </c>
      <c r="T4" s="53">
        <v>432.971</v>
      </c>
      <c r="U4" s="53">
        <v>198.88200000000001</v>
      </c>
      <c r="V4" s="53">
        <v>0</v>
      </c>
      <c r="W4" s="53">
        <v>0.104</v>
      </c>
      <c r="X4" s="53">
        <v>0.61399999999999999</v>
      </c>
      <c r="Y4" s="53">
        <v>0</v>
      </c>
      <c r="Z4" s="53">
        <v>0.10299999999999999</v>
      </c>
      <c r="AA4" s="53">
        <v>0.61499999999999999</v>
      </c>
      <c r="AB4" s="53">
        <v>0</v>
      </c>
      <c r="AC4" s="53">
        <f>W4/B4</f>
        <v>5.2032260001200746E-4</v>
      </c>
      <c r="AD4" s="53">
        <f>Z4/E4</f>
        <v>5.1883679812211305E-4</v>
      </c>
      <c r="AE4" s="53">
        <f>(X4+Y4)/(C4+D4)</f>
        <v>8.8761673461127E-3</v>
      </c>
      <c r="AF4" s="53">
        <f>(AA4+AB4)/(F4+G4)</f>
        <v>9.4927916525175196E-3</v>
      </c>
      <c r="AG4" s="55">
        <f t="shared" ref="AG4:AG25" si="0">(Q4+W4)/B4</f>
        <v>1.3378944945866438</v>
      </c>
      <c r="AH4" s="55">
        <f>'31.12.2018'!AN4</f>
        <v>1.579214769583055</v>
      </c>
      <c r="AI4" s="55">
        <f t="shared" ref="AI4" si="1">(R4+X4)/C4</f>
        <v>2.0532136351808479</v>
      </c>
      <c r="AJ4" s="55">
        <f>'31.12.2018'!AP4</f>
        <v>1.752218156298561</v>
      </c>
    </row>
    <row r="5" spans="1:36" x14ac:dyDescent="0.25">
      <c r="A5" s="61" t="s">
        <v>28</v>
      </c>
      <c r="B5" s="53">
        <v>190.68600000000001</v>
      </c>
      <c r="C5" s="53">
        <v>108.126</v>
      </c>
      <c r="D5" s="53">
        <v>0</v>
      </c>
      <c r="E5" s="53">
        <v>182.72499999999999</v>
      </c>
      <c r="F5" s="53">
        <v>92.804000000000002</v>
      </c>
      <c r="G5" s="53">
        <v>0</v>
      </c>
      <c r="H5" s="53"/>
      <c r="I5" s="53">
        <v>0.9</v>
      </c>
      <c r="J5" s="53">
        <v>0.9</v>
      </c>
      <c r="K5" s="53">
        <v>1.0900000000000001</v>
      </c>
      <c r="L5" s="53">
        <v>1.0900000000000001</v>
      </c>
      <c r="M5" s="53">
        <v>1.08</v>
      </c>
      <c r="N5" s="53">
        <v>1.08</v>
      </c>
      <c r="O5" s="53">
        <v>1.3080000000000001</v>
      </c>
      <c r="P5" s="53">
        <v>1.3080000000000001</v>
      </c>
      <c r="Q5" s="53">
        <v>159.125</v>
      </c>
      <c r="R5" s="53">
        <v>84.135999999999996</v>
      </c>
      <c r="S5" s="53">
        <v>0</v>
      </c>
      <c r="T5" s="53">
        <v>192.10599999999999</v>
      </c>
      <c r="U5" s="53">
        <v>120.03400000000001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f t="shared" ref="AC5:AC42" si="2">W5/B5</f>
        <v>0</v>
      </c>
      <c r="AD5" s="53">
        <f t="shared" ref="AD5:AD42" si="3">Z5/E5</f>
        <v>0</v>
      </c>
      <c r="AE5" s="53">
        <f t="shared" ref="AE5:AE42" si="4">(X5+Y5)/(C5+D5)</f>
        <v>0</v>
      </c>
      <c r="AF5" s="53">
        <f t="shared" ref="AF5:AF42" si="5">(AA5+AB5)/(F5+G5)</f>
        <v>0</v>
      </c>
      <c r="AG5" s="55">
        <f t="shared" si="0"/>
        <v>0.83448706250065552</v>
      </c>
      <c r="AH5" s="55">
        <f>'31.12.2018'!AN5</f>
        <v>1.49517511212902</v>
      </c>
      <c r="AI5" s="55">
        <f t="shared" ref="AI5:AI42" si="6">(R5+X5)/C5</f>
        <v>0.77812921961415382</v>
      </c>
      <c r="AJ5" s="55">
        <f>'31.12.2018'!AP5</f>
        <v>1.6693970685921824</v>
      </c>
    </row>
    <row r="6" spans="1:36" x14ac:dyDescent="0.25">
      <c r="A6" s="61" t="s">
        <v>29</v>
      </c>
      <c r="B6" s="53">
        <v>44.539000000000001</v>
      </c>
      <c r="C6" s="53">
        <v>0</v>
      </c>
      <c r="D6" s="53">
        <v>0</v>
      </c>
      <c r="E6" s="53">
        <v>43.347999999999999</v>
      </c>
      <c r="F6" s="53">
        <v>0</v>
      </c>
      <c r="G6" s="53">
        <v>0</v>
      </c>
      <c r="H6" s="53"/>
      <c r="I6" s="53">
        <v>0.73</v>
      </c>
      <c r="J6" s="53"/>
      <c r="K6" s="53">
        <v>0.59</v>
      </c>
      <c r="L6" s="53"/>
      <c r="M6" s="53">
        <v>0.88</v>
      </c>
      <c r="N6" s="53"/>
      <c r="O6" s="53">
        <v>0.71</v>
      </c>
      <c r="P6" s="53"/>
      <c r="Q6" s="53">
        <v>32.47</v>
      </c>
      <c r="R6" s="53"/>
      <c r="S6" s="53"/>
      <c r="T6" s="53">
        <v>25.533000000000001</v>
      </c>
      <c r="U6" s="53"/>
      <c r="V6" s="53"/>
      <c r="W6" s="53">
        <v>7.8680000000000003</v>
      </c>
      <c r="X6" s="53"/>
      <c r="Y6" s="53"/>
      <c r="Z6" s="53">
        <v>5.8470000000000004</v>
      </c>
      <c r="AA6" s="53"/>
      <c r="AB6" s="53"/>
      <c r="AC6" s="53">
        <f t="shared" si="2"/>
        <v>0.17665416825703317</v>
      </c>
      <c r="AD6" s="53">
        <f t="shared" si="3"/>
        <v>0.13488511580695767</v>
      </c>
      <c r="AE6" s="53"/>
      <c r="AF6" s="53"/>
      <c r="AG6" s="55">
        <f t="shared" si="0"/>
        <v>0.90567816969397608</v>
      </c>
      <c r="AH6" s="55">
        <f>'31.12.2018'!AN6</f>
        <v>0.69144852244769861</v>
      </c>
      <c r="AI6" s="55" t="e">
        <f t="shared" si="6"/>
        <v>#DIV/0!</v>
      </c>
      <c r="AJ6" s="55">
        <f>'31.12.2018'!AP6</f>
        <v>0</v>
      </c>
    </row>
    <row r="7" spans="1:36" x14ac:dyDescent="0.25">
      <c r="A7" s="61" t="s">
        <v>30</v>
      </c>
      <c r="B7" s="53">
        <v>197.69200000000001</v>
      </c>
      <c r="C7" s="53">
        <v>90.843000000000004</v>
      </c>
      <c r="D7" s="53">
        <v>0</v>
      </c>
      <c r="E7" s="53">
        <v>189.559</v>
      </c>
      <c r="F7" s="53">
        <v>85.828999999999994</v>
      </c>
      <c r="G7" s="53">
        <v>0</v>
      </c>
      <c r="H7" s="53"/>
      <c r="I7" s="54">
        <f>Q7/B7</f>
        <v>0.79925338405195956</v>
      </c>
      <c r="J7" s="54">
        <f>R7/C7</f>
        <v>0.80154772519621764</v>
      </c>
      <c r="K7" s="54">
        <f>T7/E7</f>
        <v>1.0993674792544803</v>
      </c>
      <c r="L7" s="54">
        <f>U7/F7</f>
        <v>1.6965011825839753</v>
      </c>
      <c r="M7" s="55">
        <f t="shared" ref="M7:P8" si="7">I7*1.2</f>
        <v>0.95910406086235145</v>
      </c>
      <c r="N7" s="55">
        <f t="shared" si="7"/>
        <v>0.96185727023546108</v>
      </c>
      <c r="O7" s="55">
        <f t="shared" si="7"/>
        <v>1.3192409751053764</v>
      </c>
      <c r="P7" s="55">
        <f t="shared" si="7"/>
        <v>2.0358014191007703</v>
      </c>
      <c r="Q7" s="53">
        <v>158.006</v>
      </c>
      <c r="R7" s="53">
        <v>72.814999999999998</v>
      </c>
      <c r="S7" s="53">
        <v>0</v>
      </c>
      <c r="T7" s="53">
        <v>208.39500000000001</v>
      </c>
      <c r="U7" s="53">
        <v>145.60900000000001</v>
      </c>
      <c r="V7" s="53">
        <v>0</v>
      </c>
      <c r="W7" s="53"/>
      <c r="X7" s="53"/>
      <c r="Y7" s="53"/>
      <c r="Z7" s="53"/>
      <c r="AA7" s="53"/>
      <c r="AB7" s="53"/>
      <c r="AC7" s="53">
        <f t="shared" si="2"/>
        <v>0</v>
      </c>
      <c r="AD7" s="53">
        <f t="shared" si="3"/>
        <v>0</v>
      </c>
      <c r="AE7" s="53">
        <f t="shared" si="4"/>
        <v>0</v>
      </c>
      <c r="AF7" s="53">
        <f t="shared" si="5"/>
        <v>0</v>
      </c>
      <c r="AG7" s="55">
        <f t="shared" si="0"/>
        <v>0.79925338405195956</v>
      </c>
      <c r="AH7" s="55">
        <f>'31.12.2018'!AN7</f>
        <v>1.4184192355117138</v>
      </c>
      <c r="AI7" s="55">
        <f t="shared" si="6"/>
        <v>0.80154772519621764</v>
      </c>
      <c r="AJ7" s="55">
        <f>'31.12.2018'!AP7</f>
        <v>1.499746061188213</v>
      </c>
    </row>
    <row r="8" spans="1:36" x14ac:dyDescent="0.25">
      <c r="A8" s="61" t="s">
        <v>31</v>
      </c>
      <c r="B8" s="53">
        <v>197.69200000000001</v>
      </c>
      <c r="C8" s="53">
        <v>90.843000000000004</v>
      </c>
      <c r="D8" s="53">
        <v>0</v>
      </c>
      <c r="E8" s="53">
        <v>189.559</v>
      </c>
      <c r="F8" s="53">
        <v>85.828999999999994</v>
      </c>
      <c r="G8" s="53">
        <v>0</v>
      </c>
      <c r="H8" s="53"/>
      <c r="I8" s="54">
        <f>Q8/B8</f>
        <v>0.79925338405195956</v>
      </c>
      <c r="J8" s="54">
        <f>R8/C8</f>
        <v>0.80154772519621764</v>
      </c>
      <c r="K8" s="54">
        <f>T8/E8</f>
        <v>1.0993674792544803</v>
      </c>
      <c r="L8" s="54">
        <f>U8/F8</f>
        <v>1.6965011825839753</v>
      </c>
      <c r="M8" s="55">
        <f t="shared" si="7"/>
        <v>0.95910406086235145</v>
      </c>
      <c r="N8" s="55">
        <f t="shared" si="7"/>
        <v>0.96185727023546108</v>
      </c>
      <c r="O8" s="55">
        <f t="shared" si="7"/>
        <v>1.3192409751053764</v>
      </c>
      <c r="P8" s="55">
        <f t="shared" si="7"/>
        <v>2.0358014191007703</v>
      </c>
      <c r="Q8" s="53">
        <v>158.006</v>
      </c>
      <c r="R8" s="53">
        <v>72.814999999999998</v>
      </c>
      <c r="S8" s="53">
        <v>0</v>
      </c>
      <c r="T8" s="53">
        <v>208.39500000000001</v>
      </c>
      <c r="U8" s="53">
        <v>145.60900000000001</v>
      </c>
      <c r="V8" s="53">
        <v>0</v>
      </c>
      <c r="W8" s="53"/>
      <c r="X8" s="53"/>
      <c r="Y8" s="53"/>
      <c r="Z8" s="53"/>
      <c r="AA8" s="53"/>
      <c r="AB8" s="53"/>
      <c r="AC8" s="53">
        <f t="shared" ref="AC8" si="8">W8/B8</f>
        <v>0</v>
      </c>
      <c r="AD8" s="53">
        <f t="shared" ref="AD8" si="9">Z8/E8</f>
        <v>0</v>
      </c>
      <c r="AE8" s="53">
        <f t="shared" ref="AE8" si="10">(X8+Y8)/(C8+D8)</f>
        <v>0</v>
      </c>
      <c r="AF8" s="53">
        <f t="shared" ref="AF8" si="11">(AA8+AB8)/(F8+G8)</f>
        <v>0</v>
      </c>
      <c r="AG8" s="55">
        <f t="shared" ref="AG8" si="12">(Q8+W8)/B8</f>
        <v>0.79925338405195956</v>
      </c>
      <c r="AH8" s="55">
        <f>'31.12.2018'!AN8</f>
        <v>1.7248396372483965</v>
      </c>
      <c r="AI8" s="55">
        <f t="shared" ref="AI8" si="13">(R8+X8)/C8</f>
        <v>0.80154772519621764</v>
      </c>
      <c r="AJ8" s="55">
        <f>'31.12.2018'!AP8</f>
        <v>1.6145805414098098</v>
      </c>
    </row>
    <row r="9" spans="1:36" x14ac:dyDescent="0.25">
      <c r="A9" s="61" t="s">
        <v>32</v>
      </c>
      <c r="B9" s="53">
        <v>21.403300000000002</v>
      </c>
      <c r="C9" s="53">
        <v>7.2202000000000002</v>
      </c>
      <c r="D9" s="53">
        <v>0</v>
      </c>
      <c r="E9" s="53">
        <v>20.667999999999999</v>
      </c>
      <c r="F9" s="53">
        <v>6.8114999999999997</v>
      </c>
      <c r="G9" s="53">
        <v>0</v>
      </c>
      <c r="H9" s="53"/>
      <c r="I9" s="53">
        <v>0.88</v>
      </c>
      <c r="J9" s="53">
        <v>1.05</v>
      </c>
      <c r="K9" s="53">
        <v>1.3</v>
      </c>
      <c r="L9" s="53">
        <v>1.56</v>
      </c>
      <c r="M9" s="53">
        <v>1.06</v>
      </c>
      <c r="N9" s="53">
        <v>1.26</v>
      </c>
      <c r="O9" s="53">
        <v>1.56</v>
      </c>
      <c r="P9" s="53">
        <v>1.87</v>
      </c>
      <c r="Q9" s="53">
        <v>18.835599999999999</v>
      </c>
      <c r="R9" s="53">
        <v>7.5952000000000002</v>
      </c>
      <c r="S9" s="53">
        <v>0</v>
      </c>
      <c r="T9" s="53">
        <v>26.8597</v>
      </c>
      <c r="U9" s="53">
        <v>10.6469</v>
      </c>
      <c r="V9" s="53">
        <v>0</v>
      </c>
      <c r="W9" s="53"/>
      <c r="X9" s="53"/>
      <c r="Y9" s="53"/>
      <c r="Z9" s="53"/>
      <c r="AA9" s="53"/>
      <c r="AB9" s="53"/>
      <c r="AC9" s="53">
        <f t="shared" si="2"/>
        <v>0</v>
      </c>
      <c r="AD9" s="53">
        <f t="shared" si="3"/>
        <v>0</v>
      </c>
      <c r="AE9" s="53">
        <f t="shared" si="4"/>
        <v>0</v>
      </c>
      <c r="AF9" s="53">
        <f t="shared" si="5"/>
        <v>0</v>
      </c>
      <c r="AG9" s="55">
        <f t="shared" si="0"/>
        <v>0.88003251834997398</v>
      </c>
      <c r="AH9" s="55">
        <f>'31.12.2018'!AN9</f>
        <v>1.91617816857625</v>
      </c>
      <c r="AI9" s="55">
        <f t="shared" si="6"/>
        <v>1.0519376194565246</v>
      </c>
      <c r="AJ9" s="55">
        <f>'31.12.2018'!AP9</f>
        <v>1.9356390428058214</v>
      </c>
    </row>
    <row r="10" spans="1:36" x14ac:dyDescent="0.25">
      <c r="A10" s="61" t="s">
        <v>33</v>
      </c>
      <c r="B10" s="53">
        <v>12.874000000000001</v>
      </c>
      <c r="C10" s="53">
        <v>3.2320000000000002</v>
      </c>
      <c r="D10" s="53">
        <v>0</v>
      </c>
      <c r="E10" s="53">
        <v>12.874000000000001</v>
      </c>
      <c r="F10" s="53">
        <v>3.2320000000000002</v>
      </c>
      <c r="G10" s="53">
        <v>0</v>
      </c>
      <c r="H10" s="53">
        <v>44.454999999999998</v>
      </c>
      <c r="I10" s="53">
        <v>0.95</v>
      </c>
      <c r="J10" s="53">
        <v>0.95</v>
      </c>
      <c r="K10" s="53">
        <v>1.1299999999999999</v>
      </c>
      <c r="L10" s="49">
        <v>0</v>
      </c>
      <c r="M10" s="53">
        <v>1.1399999999999999</v>
      </c>
      <c r="N10" s="53">
        <v>1.1399999999999999</v>
      </c>
      <c r="O10" s="53">
        <v>1.36</v>
      </c>
      <c r="P10" s="49">
        <v>0</v>
      </c>
      <c r="Q10" s="53">
        <v>9.3949999999999996</v>
      </c>
      <c r="R10" s="53">
        <v>2.911</v>
      </c>
      <c r="S10" s="53">
        <v>0</v>
      </c>
      <c r="T10" s="53">
        <v>15.593999999999999</v>
      </c>
      <c r="U10" s="53">
        <v>3.556</v>
      </c>
      <c r="V10" s="49">
        <v>9.2550000000000008</v>
      </c>
      <c r="W10" s="53"/>
      <c r="X10" s="53"/>
      <c r="Y10" s="53"/>
      <c r="Z10" s="53"/>
      <c r="AA10" s="53"/>
      <c r="AB10" s="53"/>
      <c r="AC10" s="53">
        <f t="shared" si="2"/>
        <v>0</v>
      </c>
      <c r="AD10" s="53">
        <f t="shared" si="3"/>
        <v>0</v>
      </c>
      <c r="AE10" s="53">
        <f t="shared" si="4"/>
        <v>0</v>
      </c>
      <c r="AF10" s="53">
        <f t="shared" si="5"/>
        <v>0</v>
      </c>
      <c r="AG10" s="55">
        <f t="shared" si="0"/>
        <v>0.72976541867329492</v>
      </c>
      <c r="AH10" s="55">
        <f>'31.12.2018'!AN10</f>
        <v>1.1295253117019679</v>
      </c>
      <c r="AI10" s="55">
        <f t="shared" si="6"/>
        <v>0.90068069306930687</v>
      </c>
      <c r="AJ10" s="55">
        <f>'31.12.2018'!AP10</f>
        <v>1.1294541091781642</v>
      </c>
    </row>
    <row r="11" spans="1:36" x14ac:dyDescent="0.25">
      <c r="A11" s="61" t="s">
        <v>34</v>
      </c>
      <c r="B11" s="53">
        <v>920.88</v>
      </c>
      <c r="C11" s="53">
        <v>139.12299999999999</v>
      </c>
      <c r="D11" s="53">
        <v>0</v>
      </c>
      <c r="E11" s="53">
        <v>810.15499999999997</v>
      </c>
      <c r="F11" s="53">
        <v>138.42400000000001</v>
      </c>
      <c r="G11" s="53">
        <v>0</v>
      </c>
      <c r="H11" s="53"/>
      <c r="I11" s="53">
        <v>0.61</v>
      </c>
      <c r="J11" s="53">
        <v>0.71</v>
      </c>
      <c r="K11" s="53">
        <v>0.8</v>
      </c>
      <c r="L11" s="53">
        <v>0.84</v>
      </c>
      <c r="M11" s="53">
        <v>0.73199999999999998</v>
      </c>
      <c r="N11" s="53">
        <v>0.85199999999999998</v>
      </c>
      <c r="O11" s="53">
        <v>0.96</v>
      </c>
      <c r="P11" s="53">
        <v>1.008</v>
      </c>
      <c r="Q11" s="53">
        <v>559.827</v>
      </c>
      <c r="R11" s="53">
        <v>99.11</v>
      </c>
      <c r="S11" s="53">
        <v>0</v>
      </c>
      <c r="T11" s="53">
        <v>644.548</v>
      </c>
      <c r="U11" s="53">
        <v>116.55200000000001</v>
      </c>
      <c r="V11" s="53">
        <v>0</v>
      </c>
      <c r="W11" s="53">
        <v>10.1</v>
      </c>
      <c r="X11" s="53">
        <v>14.377000000000001</v>
      </c>
      <c r="Y11" s="53">
        <v>0</v>
      </c>
      <c r="Z11" s="53">
        <v>0</v>
      </c>
      <c r="AA11" s="53">
        <v>0</v>
      </c>
      <c r="AB11" s="53">
        <v>0</v>
      </c>
      <c r="AC11" s="53">
        <f t="shared" si="2"/>
        <v>1.0967769959169489E-2</v>
      </c>
      <c r="AD11" s="53">
        <f t="shared" si="3"/>
        <v>0</v>
      </c>
      <c r="AE11" s="53">
        <f t="shared" si="4"/>
        <v>0.10334020974245813</v>
      </c>
      <c r="AF11" s="53">
        <f t="shared" si="5"/>
        <v>0</v>
      </c>
      <c r="AG11" s="55">
        <f t="shared" si="0"/>
        <v>0.61889388411085056</v>
      </c>
      <c r="AH11" s="55">
        <f>'31.12.2018'!AN11</f>
        <v>0.72341867558559947</v>
      </c>
      <c r="AI11" s="55">
        <f t="shared" si="6"/>
        <v>0.81573140314685566</v>
      </c>
      <c r="AJ11" s="55">
        <f>'31.12.2018'!AP11</f>
        <v>0.72852936321571005</v>
      </c>
    </row>
    <row r="12" spans="1:36" x14ac:dyDescent="0.25">
      <c r="A12" s="61" t="s">
        <v>35</v>
      </c>
      <c r="B12" s="53">
        <v>60.89</v>
      </c>
      <c r="C12" s="53">
        <v>19.367999999999999</v>
      </c>
      <c r="D12" s="53">
        <v>6.8000000000000005E-2</v>
      </c>
      <c r="E12" s="53">
        <v>60.308999999999997</v>
      </c>
      <c r="F12" s="53">
        <v>23.094000000000001</v>
      </c>
      <c r="G12" s="53">
        <v>3.5999999999999997E-2</v>
      </c>
      <c r="H12" s="53">
        <v>9.99</v>
      </c>
      <c r="I12" s="53">
        <v>0.98</v>
      </c>
      <c r="J12" s="53">
        <v>0.98</v>
      </c>
      <c r="K12" s="53">
        <v>1.3</v>
      </c>
      <c r="L12" s="53">
        <v>1.3</v>
      </c>
      <c r="M12" s="53">
        <v>1.1759999999999999</v>
      </c>
      <c r="N12" s="53">
        <v>1.1759999999999999</v>
      </c>
      <c r="O12" s="53">
        <v>1.56</v>
      </c>
      <c r="P12" s="53">
        <v>1.56</v>
      </c>
      <c r="Q12" s="53">
        <v>59.665999999999997</v>
      </c>
      <c r="R12" s="53">
        <v>18.995000000000001</v>
      </c>
      <c r="S12" s="53">
        <v>6.7000000000000004E-2</v>
      </c>
      <c r="T12" s="53">
        <v>78.400999999999996</v>
      </c>
      <c r="U12" s="53">
        <v>29.277999999999999</v>
      </c>
      <c r="V12" s="53">
        <v>4.7E-2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f t="shared" si="2"/>
        <v>0</v>
      </c>
      <c r="AD12" s="53">
        <f t="shared" si="3"/>
        <v>0</v>
      </c>
      <c r="AE12" s="53">
        <f t="shared" si="4"/>
        <v>0</v>
      </c>
      <c r="AF12" s="53">
        <f t="shared" si="5"/>
        <v>0</v>
      </c>
      <c r="AG12" s="55">
        <f t="shared" si="0"/>
        <v>0.97989817704056492</v>
      </c>
      <c r="AH12" s="55">
        <f>'31.12.2018'!AN12</f>
        <v>1.8419518956636791</v>
      </c>
      <c r="AI12" s="55">
        <f t="shared" si="6"/>
        <v>0.98074142916150364</v>
      </c>
      <c r="AJ12" s="55">
        <f>'31.12.2018'!AP12</f>
        <v>1.7670264312600075</v>
      </c>
    </row>
    <row r="13" spans="1:36" x14ac:dyDescent="0.25">
      <c r="A13" s="61" t="s">
        <v>36</v>
      </c>
      <c r="B13" s="53">
        <v>36.872999999999998</v>
      </c>
      <c r="C13" s="53">
        <v>11.788</v>
      </c>
      <c r="D13" s="53">
        <v>0</v>
      </c>
      <c r="E13" s="53">
        <v>36.313000000000002</v>
      </c>
      <c r="F13" s="53">
        <v>7.87</v>
      </c>
      <c r="G13" s="53">
        <v>0</v>
      </c>
      <c r="H13" s="53"/>
      <c r="I13" s="53">
        <v>0.8</v>
      </c>
      <c r="J13" s="53">
        <v>0.8</v>
      </c>
      <c r="K13" s="53">
        <v>1.6</v>
      </c>
      <c r="L13" s="53">
        <v>1.6</v>
      </c>
      <c r="M13" s="53">
        <v>0.96</v>
      </c>
      <c r="N13" s="53">
        <v>0.96</v>
      </c>
      <c r="O13" s="53">
        <v>1.92</v>
      </c>
      <c r="P13" s="53">
        <v>1.92</v>
      </c>
      <c r="Q13" s="53">
        <v>25.811</v>
      </c>
      <c r="R13" s="53">
        <v>8.2520000000000007</v>
      </c>
      <c r="S13" s="53">
        <v>0</v>
      </c>
      <c r="T13" s="53">
        <v>53.38</v>
      </c>
      <c r="U13" s="53">
        <v>11.569000000000001</v>
      </c>
      <c r="V13" s="53"/>
      <c r="W13" s="53"/>
      <c r="X13" s="53"/>
      <c r="Y13" s="53"/>
      <c r="Z13" s="53"/>
      <c r="AA13" s="53"/>
      <c r="AB13" s="53"/>
      <c r="AC13" s="53">
        <f t="shared" si="2"/>
        <v>0</v>
      </c>
      <c r="AD13" s="53">
        <f t="shared" si="3"/>
        <v>0</v>
      </c>
      <c r="AE13" s="53">
        <f t="shared" si="4"/>
        <v>0</v>
      </c>
      <c r="AF13" s="53">
        <f t="shared" si="5"/>
        <v>0</v>
      </c>
      <c r="AG13" s="55">
        <f t="shared" si="0"/>
        <v>0.69999728798850114</v>
      </c>
      <c r="AH13" s="55">
        <f>'31.12.2018'!AN13</f>
        <v>1.99000883572351</v>
      </c>
      <c r="AI13" s="55">
        <f t="shared" si="6"/>
        <v>0.70003393281303028</v>
      </c>
      <c r="AJ13" s="55">
        <f>'31.12.2018'!AP13</f>
        <v>1.9899559927517476</v>
      </c>
    </row>
    <row r="14" spans="1:36" x14ac:dyDescent="0.25">
      <c r="A14" s="61" t="s">
        <v>37</v>
      </c>
      <c r="B14" s="53">
        <v>46.732999999999997</v>
      </c>
      <c r="C14" s="53">
        <v>23.170999999999999</v>
      </c>
      <c r="D14" s="53">
        <v>0</v>
      </c>
      <c r="E14" s="53">
        <v>42.805</v>
      </c>
      <c r="F14" s="53">
        <v>17.260000000000002</v>
      </c>
      <c r="G14" s="53">
        <v>0</v>
      </c>
      <c r="H14" s="53"/>
      <c r="I14" s="53">
        <v>1.1499999999999999</v>
      </c>
      <c r="J14" s="53">
        <v>1.21</v>
      </c>
      <c r="K14" s="53">
        <v>1.3</v>
      </c>
      <c r="L14" s="53">
        <v>1.33</v>
      </c>
      <c r="M14" s="53">
        <v>1.38</v>
      </c>
      <c r="N14" s="53">
        <v>1.45</v>
      </c>
      <c r="O14" s="53">
        <v>1.56</v>
      </c>
      <c r="P14" s="53">
        <v>1.5960000000000001</v>
      </c>
      <c r="Q14" s="53">
        <v>53.838000000000001</v>
      </c>
      <c r="R14" s="53">
        <v>28.036000000000001</v>
      </c>
      <c r="S14" s="53">
        <v>0</v>
      </c>
      <c r="T14" s="53">
        <v>55.718000000000004</v>
      </c>
      <c r="U14" s="53">
        <v>22.933</v>
      </c>
      <c r="V14" s="53">
        <v>0</v>
      </c>
      <c r="W14" s="53"/>
      <c r="X14" s="53"/>
      <c r="Y14" s="53"/>
      <c r="Z14" s="53"/>
      <c r="AA14" s="53"/>
      <c r="AB14" s="53"/>
      <c r="AC14" s="53">
        <f t="shared" si="2"/>
        <v>0</v>
      </c>
      <c r="AD14" s="53">
        <f t="shared" si="3"/>
        <v>0</v>
      </c>
      <c r="AE14" s="53">
        <f t="shared" si="4"/>
        <v>0</v>
      </c>
      <c r="AF14" s="53">
        <f t="shared" si="5"/>
        <v>0</v>
      </c>
      <c r="AG14" s="55">
        <f t="shared" si="0"/>
        <v>1.1520338946782789</v>
      </c>
      <c r="AH14" s="55">
        <f>'31.12.2018'!AN14</f>
        <v>1.5650097894274182</v>
      </c>
      <c r="AI14" s="55">
        <f t="shared" si="6"/>
        <v>1.2099607267705321</v>
      </c>
      <c r="AJ14" s="55">
        <f>'31.12.2018'!AP14</f>
        <v>1.5862844588586074</v>
      </c>
    </row>
    <row r="15" spans="1:36" x14ac:dyDescent="0.25">
      <c r="A15" s="61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5"/>
      <c r="AH15" s="55">
        <f>'31.12.2018'!AN15</f>
        <v>1.9763451206799776</v>
      </c>
      <c r="AI15" s="55" t="e">
        <f t="shared" ref="AI15" si="14">(R15+X15)/C15</f>
        <v>#DIV/0!</v>
      </c>
      <c r="AJ15" s="55">
        <f>'31.12.2018'!AP15</f>
        <v>2.0142352563416459</v>
      </c>
    </row>
    <row r="16" spans="1:36" x14ac:dyDescent="0.25">
      <c r="A16" s="61" t="s">
        <v>39</v>
      </c>
      <c r="B16" s="53">
        <v>133.16900000000001</v>
      </c>
      <c r="C16" s="53">
        <v>34.134999999999998</v>
      </c>
      <c r="D16" s="53">
        <v>0</v>
      </c>
      <c r="E16" s="53">
        <v>130.85900000000001</v>
      </c>
      <c r="F16" s="53">
        <v>56.753</v>
      </c>
      <c r="G16" s="53"/>
      <c r="H16" s="53">
        <v>4.6150000000000002</v>
      </c>
      <c r="I16" s="53">
        <v>0.88</v>
      </c>
      <c r="J16" s="53">
        <v>0.88</v>
      </c>
      <c r="K16" s="53">
        <v>0.91</v>
      </c>
      <c r="L16" s="53">
        <v>0.91</v>
      </c>
      <c r="M16" s="53">
        <v>1.06</v>
      </c>
      <c r="N16" s="53">
        <v>1.06</v>
      </c>
      <c r="O16" s="53">
        <v>1.0900000000000001</v>
      </c>
      <c r="P16" s="53">
        <v>1.0900000000000001</v>
      </c>
      <c r="Q16" s="53">
        <v>117.18899999999999</v>
      </c>
      <c r="R16" s="53">
        <v>30.039000000000001</v>
      </c>
      <c r="S16" s="53">
        <v>0</v>
      </c>
      <c r="T16" s="53">
        <v>119.07899999999999</v>
      </c>
      <c r="U16" s="53">
        <v>51.646000000000001</v>
      </c>
      <c r="V16" s="53">
        <v>0</v>
      </c>
      <c r="W16" s="53">
        <v>15.78</v>
      </c>
      <c r="X16" s="53">
        <v>2.6871999999999998</v>
      </c>
      <c r="Y16" s="53">
        <v>0</v>
      </c>
      <c r="Z16" s="53">
        <v>15.5496</v>
      </c>
      <c r="AA16" s="53">
        <v>3.7191999999999998</v>
      </c>
      <c r="AB16" s="53"/>
      <c r="AC16" s="53">
        <f t="shared" si="2"/>
        <v>0.11849604637715984</v>
      </c>
      <c r="AD16" s="53">
        <f t="shared" si="3"/>
        <v>0.11882713454940048</v>
      </c>
      <c r="AE16" s="53">
        <f t="shared" si="4"/>
        <v>7.8722718617255022E-2</v>
      </c>
      <c r="AF16" s="53">
        <f t="shared" si="5"/>
        <v>6.5533099571828804E-2</v>
      </c>
      <c r="AG16" s="55">
        <f t="shared" si="0"/>
        <v>0.99849814896860367</v>
      </c>
      <c r="AH16" s="55">
        <f>'31.12.2018'!AN16</f>
        <v>1.369987318499821</v>
      </c>
      <c r="AI16" s="55">
        <f t="shared" si="6"/>
        <v>0.95872857770616671</v>
      </c>
      <c r="AJ16" s="55">
        <f>'31.12.2018'!AP16</f>
        <v>2.0809453471196453</v>
      </c>
    </row>
    <row r="17" spans="1:36" x14ac:dyDescent="0.25">
      <c r="A17" s="61" t="s">
        <v>40</v>
      </c>
      <c r="B17" s="53">
        <v>48.48</v>
      </c>
      <c r="C17" s="53">
        <v>6.8789999999999996</v>
      </c>
      <c r="D17" s="53">
        <v>7.4999999999999997E-2</v>
      </c>
      <c r="E17" s="53">
        <v>46.804000000000002</v>
      </c>
      <c r="F17" s="53">
        <v>4.7789999999999999</v>
      </c>
      <c r="G17" s="53"/>
      <c r="H17" s="53"/>
      <c r="I17" s="53">
        <v>1.1399999999999999</v>
      </c>
      <c r="J17" s="53">
        <v>1.68</v>
      </c>
      <c r="K17" s="53">
        <v>1.68</v>
      </c>
      <c r="L17" s="53">
        <v>2.71</v>
      </c>
      <c r="M17" s="53">
        <v>1.3680000000000001</v>
      </c>
      <c r="N17" s="53">
        <v>2.016</v>
      </c>
      <c r="O17" s="53">
        <v>2.016</v>
      </c>
      <c r="P17" s="53">
        <v>3.2519999999999998</v>
      </c>
      <c r="Q17" s="53">
        <v>55.267000000000003</v>
      </c>
      <c r="R17" s="53">
        <v>11.557</v>
      </c>
      <c r="S17" s="53">
        <v>0.126</v>
      </c>
      <c r="T17" s="53">
        <v>78.631</v>
      </c>
      <c r="U17" s="53">
        <v>12.951000000000001</v>
      </c>
      <c r="V17" s="53">
        <v>0</v>
      </c>
      <c r="W17" s="53">
        <v>7.694</v>
      </c>
      <c r="X17" s="53">
        <v>0.33</v>
      </c>
      <c r="Y17" s="53">
        <v>1.9E-2</v>
      </c>
      <c r="Z17" s="53">
        <v>0</v>
      </c>
      <c r="AA17" s="53">
        <v>0</v>
      </c>
      <c r="AB17" s="53">
        <v>0</v>
      </c>
      <c r="AC17" s="53">
        <f t="shared" si="2"/>
        <v>0.15870462046204623</v>
      </c>
      <c r="AD17" s="53">
        <f t="shared" si="3"/>
        <v>0</v>
      </c>
      <c r="AE17" s="53">
        <f t="shared" si="4"/>
        <v>5.0186942766752951E-2</v>
      </c>
      <c r="AF17" s="53">
        <f t="shared" si="5"/>
        <v>0</v>
      </c>
      <c r="AG17" s="55">
        <f t="shared" si="0"/>
        <v>1.2987004950495051</v>
      </c>
      <c r="AH17" s="55">
        <f>'31.12.2018'!AN17</f>
        <v>1.8099997939036707</v>
      </c>
      <c r="AI17" s="55">
        <f t="shared" si="6"/>
        <v>1.7280127925570579</v>
      </c>
      <c r="AJ17" s="55">
        <f>'31.12.2018'!AP17</f>
        <v>2.7701660735468563</v>
      </c>
    </row>
    <row r="18" spans="1:36" x14ac:dyDescent="0.25">
      <c r="A18" s="61" t="s">
        <v>41</v>
      </c>
      <c r="B18" s="53">
        <v>87.013999999999996</v>
      </c>
      <c r="C18" s="53">
        <v>12.169</v>
      </c>
      <c r="D18" s="53">
        <v>1.71</v>
      </c>
      <c r="E18" s="53">
        <v>64.790999999999997</v>
      </c>
      <c r="F18" s="53">
        <v>11.026999999999999</v>
      </c>
      <c r="G18" s="53"/>
      <c r="H18" s="53">
        <v>23.187000000000001</v>
      </c>
      <c r="I18" s="53">
        <v>1.03</v>
      </c>
      <c r="J18" s="53">
        <v>0.84</v>
      </c>
      <c r="K18" s="53">
        <v>1.03</v>
      </c>
      <c r="L18" s="53">
        <v>0.84</v>
      </c>
      <c r="M18" s="53">
        <f>I18*1.2</f>
        <v>1.236</v>
      </c>
      <c r="N18" s="53">
        <f>J18*1.2</f>
        <v>1.008</v>
      </c>
      <c r="O18" s="53">
        <f>K18*1.2</f>
        <v>1.236</v>
      </c>
      <c r="P18" s="53">
        <f>L18*1.2</f>
        <v>1.008</v>
      </c>
      <c r="Q18" s="53">
        <v>38.466999999999999</v>
      </c>
      <c r="R18" s="53">
        <v>9.7439999999999998</v>
      </c>
      <c r="S18" s="53">
        <v>1.2010000000000001</v>
      </c>
      <c r="T18" s="53">
        <v>64.619</v>
      </c>
      <c r="U18" s="53">
        <v>8.7319999999999993</v>
      </c>
      <c r="V18" s="53"/>
      <c r="W18" s="53">
        <v>6.0579999999999998</v>
      </c>
      <c r="X18" s="53">
        <v>0.90500000000000003</v>
      </c>
      <c r="Y18" s="53">
        <v>0.02</v>
      </c>
      <c r="Z18" s="53">
        <v>2.2970000000000002</v>
      </c>
      <c r="AA18" s="53">
        <v>0.84299999999999997</v>
      </c>
      <c r="AB18" s="53"/>
      <c r="AC18" s="53">
        <f t="shared" si="2"/>
        <v>6.9620980531868437E-2</v>
      </c>
      <c r="AD18" s="53">
        <f t="shared" si="3"/>
        <v>3.5452454816255349E-2</v>
      </c>
      <c r="AE18" s="53">
        <f t="shared" si="4"/>
        <v>6.6647452986526398E-2</v>
      </c>
      <c r="AF18" s="53">
        <f t="shared" si="5"/>
        <v>7.6448716786070556E-2</v>
      </c>
      <c r="AG18" s="55">
        <f t="shared" si="0"/>
        <v>0.51169926678465538</v>
      </c>
      <c r="AH18" s="55">
        <f>'31.12.2018'!AN18</f>
        <v>2.0902386813657281</v>
      </c>
      <c r="AI18" s="55">
        <f t="shared" si="6"/>
        <v>0.87509244802366659</v>
      </c>
      <c r="AJ18" s="55">
        <f>'31.12.2018'!AP18</f>
        <v>2.2902318293508066</v>
      </c>
    </row>
    <row r="19" spans="1:36" x14ac:dyDescent="0.25">
      <c r="A19" s="61" t="s">
        <v>42</v>
      </c>
      <c r="B19" s="53">
        <v>43.003</v>
      </c>
      <c r="C19" s="53">
        <v>30.690999999999999</v>
      </c>
      <c r="D19" s="53">
        <v>0</v>
      </c>
      <c r="E19" s="53">
        <v>35.256</v>
      </c>
      <c r="F19" s="53">
        <v>29.937000000000001</v>
      </c>
      <c r="G19" s="53">
        <v>0</v>
      </c>
      <c r="H19" s="53"/>
      <c r="I19" s="53">
        <v>0.88</v>
      </c>
      <c r="J19" s="53">
        <v>1.06</v>
      </c>
      <c r="K19" s="53">
        <v>1.64</v>
      </c>
      <c r="L19" s="53">
        <v>1.97</v>
      </c>
      <c r="M19" s="53">
        <v>1.06</v>
      </c>
      <c r="N19" s="53">
        <v>1.27</v>
      </c>
      <c r="O19" s="53">
        <v>1.97</v>
      </c>
      <c r="P19" s="53">
        <v>2.36</v>
      </c>
      <c r="Q19" s="53">
        <v>37.817999999999998</v>
      </c>
      <c r="R19" s="53">
        <v>32.036999999999999</v>
      </c>
      <c r="S19" s="53">
        <v>0</v>
      </c>
      <c r="T19" s="53">
        <v>57.792999999999999</v>
      </c>
      <c r="U19" s="53">
        <v>56.536999999999999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f t="shared" si="2"/>
        <v>0</v>
      </c>
      <c r="AD19" s="53">
        <f t="shared" si="3"/>
        <v>0</v>
      </c>
      <c r="AE19" s="53">
        <f t="shared" si="4"/>
        <v>0</v>
      </c>
      <c r="AF19" s="53">
        <f t="shared" si="5"/>
        <v>0</v>
      </c>
      <c r="AG19" s="55">
        <f t="shared" si="0"/>
        <v>0.87942701671976364</v>
      </c>
      <c r="AH19" s="55">
        <f>'31.12.2018'!AN19</f>
        <v>2.3398755385351842</v>
      </c>
      <c r="AI19" s="55">
        <f t="shared" si="6"/>
        <v>1.0438565051643804</v>
      </c>
      <c r="AJ19" s="55">
        <f>'31.12.2018'!AP19</f>
        <v>2.3439729174223189</v>
      </c>
    </row>
    <row r="20" spans="1:36" x14ac:dyDescent="0.25">
      <c r="A20" s="64" t="s">
        <v>43</v>
      </c>
      <c r="B20" s="53" t="s">
        <v>71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5"/>
      <c r="AH20" s="55">
        <f>'31.12.2018'!AN20</f>
        <v>1.706899118029944</v>
      </c>
      <c r="AI20" s="55" t="e">
        <f t="shared" si="6"/>
        <v>#DIV/0!</v>
      </c>
      <c r="AJ20" s="55">
        <f>'31.12.2018'!AP20</f>
        <v>2.1628080565520253</v>
      </c>
    </row>
    <row r="21" spans="1:36" x14ac:dyDescent="0.25">
      <c r="A21" s="61" t="s">
        <v>44</v>
      </c>
      <c r="B21" s="53">
        <v>197.55199999999999</v>
      </c>
      <c r="C21" s="53">
        <v>138.773</v>
      </c>
      <c r="D21" s="53">
        <v>0</v>
      </c>
      <c r="E21" s="53">
        <v>197.649</v>
      </c>
      <c r="F21" s="53">
        <v>184.97</v>
      </c>
      <c r="G21" s="53">
        <v>0</v>
      </c>
      <c r="H21" s="53"/>
      <c r="I21" s="54">
        <f>Q21/B21</f>
        <v>0.87777395318700902</v>
      </c>
      <c r="J21" s="54">
        <f>R21/C21</f>
        <v>0.94025494872921966</v>
      </c>
      <c r="K21" s="54">
        <f>T21/E21</f>
        <v>1.6651235270605973</v>
      </c>
      <c r="L21" s="54">
        <f>U21/F21</f>
        <v>2.1628588419743742</v>
      </c>
      <c r="M21" s="55">
        <f>I21*1.2</f>
        <v>1.0533287438244108</v>
      </c>
      <c r="N21" s="55">
        <f>J21*1.2</f>
        <v>1.1283059384750636</v>
      </c>
      <c r="O21" s="55">
        <f>K21*1.2</f>
        <v>1.9981482324727167</v>
      </c>
      <c r="P21" s="55">
        <f>L21*1.2</f>
        <v>2.5954306103692488</v>
      </c>
      <c r="Q21" s="53">
        <v>173.40600000000001</v>
      </c>
      <c r="R21" s="53">
        <v>130.482</v>
      </c>
      <c r="S21" s="53">
        <v>0</v>
      </c>
      <c r="T21" s="53">
        <v>329.11</v>
      </c>
      <c r="U21" s="53">
        <v>400.06400000000002</v>
      </c>
      <c r="V21" s="53">
        <v>0</v>
      </c>
      <c r="W21" s="53">
        <v>1.169</v>
      </c>
      <c r="X21" s="53">
        <v>0.20300000000000001</v>
      </c>
      <c r="Y21" s="53">
        <v>0</v>
      </c>
      <c r="Z21" s="53">
        <v>1.1639999999999999</v>
      </c>
      <c r="AA21" s="53">
        <v>0.17499999999999999</v>
      </c>
      <c r="AB21" s="53"/>
      <c r="AC21" s="53">
        <f t="shared" si="2"/>
        <v>5.9174293350611491E-3</v>
      </c>
      <c r="AD21" s="53">
        <f t="shared" si="3"/>
        <v>5.889227873654812E-3</v>
      </c>
      <c r="AE21" s="53">
        <f t="shared" si="4"/>
        <v>1.4628205774898577E-3</v>
      </c>
      <c r="AF21" s="53">
        <f t="shared" si="5"/>
        <v>9.4609936746499425E-4</v>
      </c>
      <c r="AG21" s="55">
        <f t="shared" si="0"/>
        <v>0.88369138252207025</v>
      </c>
      <c r="AH21" s="55">
        <f>'31.12.2018'!AN21</f>
        <v>0</v>
      </c>
      <c r="AI21" s="55">
        <f t="shared" si="6"/>
        <v>0.94171776930670958</v>
      </c>
      <c r="AJ21" s="55">
        <f>'31.12.2018'!AP21</f>
        <v>0</v>
      </c>
    </row>
    <row r="22" spans="1:36" x14ac:dyDescent="0.25">
      <c r="A22" s="61" t="s">
        <v>45</v>
      </c>
      <c r="B22" s="53">
        <v>27.053999999999998</v>
      </c>
      <c r="C22" s="53">
        <v>8.9260000000000002</v>
      </c>
      <c r="D22" s="53">
        <v>0</v>
      </c>
      <c r="E22" s="53">
        <v>24.202999999999999</v>
      </c>
      <c r="F22" s="53">
        <v>3.0680000000000001</v>
      </c>
      <c r="G22" s="53">
        <v>0</v>
      </c>
      <c r="H22" s="53"/>
      <c r="I22" s="53">
        <v>0.8</v>
      </c>
      <c r="J22" s="53">
        <v>0.8</v>
      </c>
      <c r="K22" s="53">
        <v>1.1399999999999999</v>
      </c>
      <c r="L22" s="53">
        <v>1.1399999999999999</v>
      </c>
      <c r="M22" s="53">
        <v>0.96</v>
      </c>
      <c r="N22" s="53">
        <v>0.96</v>
      </c>
      <c r="O22" s="53">
        <v>1.37</v>
      </c>
      <c r="P22" s="53">
        <v>1.37</v>
      </c>
      <c r="Q22" s="53">
        <v>20.622</v>
      </c>
      <c r="R22" s="53">
        <v>8.1769999999999996</v>
      </c>
      <c r="S22" s="53">
        <v>0</v>
      </c>
      <c r="T22" s="53">
        <v>26.148</v>
      </c>
      <c r="U22" s="53">
        <v>4.976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f t="shared" si="2"/>
        <v>0</v>
      </c>
      <c r="AD22" s="53">
        <f t="shared" si="3"/>
        <v>0</v>
      </c>
      <c r="AE22" s="53">
        <f t="shared" si="4"/>
        <v>0</v>
      </c>
      <c r="AF22" s="53">
        <f t="shared" si="5"/>
        <v>0</v>
      </c>
      <c r="AG22" s="55">
        <f t="shared" si="0"/>
        <v>0.76225327123530717</v>
      </c>
      <c r="AH22" s="55">
        <f>'31.12.2018'!AN22</f>
        <v>1.6700008820675665</v>
      </c>
      <c r="AI22" s="55">
        <f t="shared" si="6"/>
        <v>0.9160878332959892</v>
      </c>
      <c r="AJ22" s="55">
        <f>'31.12.2018'!AP22</f>
        <v>1.6699894396620691</v>
      </c>
    </row>
    <row r="23" spans="1:36" x14ac:dyDescent="0.25">
      <c r="A23" s="61" t="s">
        <v>46</v>
      </c>
      <c r="B23" s="53">
        <v>86.745000000000005</v>
      </c>
      <c r="C23" s="53">
        <v>30.204999999999998</v>
      </c>
      <c r="D23" s="53">
        <v>1.0680000000000001</v>
      </c>
      <c r="E23" s="53">
        <v>75.878</v>
      </c>
      <c r="F23" s="53">
        <v>31.818999999999999</v>
      </c>
      <c r="G23" s="53">
        <v>0</v>
      </c>
      <c r="H23" s="53"/>
      <c r="I23" s="53">
        <v>1.1100000000000001</v>
      </c>
      <c r="J23" s="53">
        <v>1.1100000000000001</v>
      </c>
      <c r="K23" s="53">
        <v>1.42</v>
      </c>
      <c r="L23" s="53">
        <v>1.42</v>
      </c>
      <c r="M23" s="53">
        <v>1.3320000000000001</v>
      </c>
      <c r="N23" s="53">
        <v>1.3320000000000001</v>
      </c>
      <c r="O23" s="53">
        <v>1.704</v>
      </c>
      <c r="P23" s="53">
        <v>1.704</v>
      </c>
      <c r="Q23" s="53">
        <v>94.081999999999994</v>
      </c>
      <c r="R23" s="53">
        <v>32.622</v>
      </c>
      <c r="S23" s="53">
        <v>1.151</v>
      </c>
      <c r="T23" s="53">
        <v>104.221</v>
      </c>
      <c r="U23" s="53">
        <v>43.646000000000001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f t="shared" si="2"/>
        <v>0</v>
      </c>
      <c r="AD23" s="53">
        <f t="shared" si="3"/>
        <v>0</v>
      </c>
      <c r="AE23" s="53">
        <f t="shared" si="4"/>
        <v>0</v>
      </c>
      <c r="AF23" s="53">
        <f t="shared" si="5"/>
        <v>0</v>
      </c>
      <c r="AG23" s="55">
        <f t="shared" si="0"/>
        <v>1.0845812438757276</v>
      </c>
      <c r="AH23" s="55">
        <f>'31.12.2018'!AN23</f>
        <v>2.5055051095106404</v>
      </c>
      <c r="AI23" s="55">
        <f t="shared" si="6"/>
        <v>1.080019864260884</v>
      </c>
      <c r="AJ23" s="55">
        <f>'31.12.2018'!AP23</f>
        <v>2.9404952342864759</v>
      </c>
    </row>
    <row r="24" spans="1:36" x14ac:dyDescent="0.25">
      <c r="A24" s="61" t="s">
        <v>47</v>
      </c>
      <c r="B24" s="53">
        <v>65.808000000000007</v>
      </c>
      <c r="C24" s="53">
        <v>30.744</v>
      </c>
      <c r="D24" s="53">
        <v>0</v>
      </c>
      <c r="E24" s="53">
        <v>62.63</v>
      </c>
      <c r="F24" s="53">
        <v>20.655000000000001</v>
      </c>
      <c r="G24" s="53"/>
      <c r="H24" s="53"/>
      <c r="I24" s="53">
        <v>0.89</v>
      </c>
      <c r="J24" s="53">
        <v>1.28</v>
      </c>
      <c r="K24" s="53">
        <v>0.89</v>
      </c>
      <c r="L24" s="53">
        <v>1.28</v>
      </c>
      <c r="M24" s="53">
        <v>1.0680000000000001</v>
      </c>
      <c r="N24" s="53">
        <v>1.536</v>
      </c>
      <c r="O24" s="53">
        <v>1.0680000000000001</v>
      </c>
      <c r="P24" s="53">
        <v>1.536</v>
      </c>
      <c r="Q24" s="53">
        <v>58.569000000000003</v>
      </c>
      <c r="R24" s="53">
        <v>39.351999999999997</v>
      </c>
      <c r="S24" s="53">
        <v>0</v>
      </c>
      <c r="T24" s="53">
        <v>56.006</v>
      </c>
      <c r="U24" s="53">
        <v>30.353000000000002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f t="shared" si="2"/>
        <v>0</v>
      </c>
      <c r="AD24" s="53">
        <f t="shared" si="3"/>
        <v>0</v>
      </c>
      <c r="AE24" s="53">
        <f t="shared" si="4"/>
        <v>0</v>
      </c>
      <c r="AF24" s="53">
        <f t="shared" si="5"/>
        <v>0</v>
      </c>
      <c r="AG24" s="55">
        <f t="shared" si="0"/>
        <v>0.88999817651349378</v>
      </c>
      <c r="AH24" s="55">
        <f>'31.12.2018'!AN24</f>
        <v>1.3760080542884012</v>
      </c>
      <c r="AI24" s="55">
        <f t="shared" si="6"/>
        <v>1.2799895914650012</v>
      </c>
      <c r="AJ24" s="55">
        <f>'31.12.2018'!AP24</f>
        <v>1.2676582262774327</v>
      </c>
    </row>
    <row r="25" spans="1:36" x14ac:dyDescent="0.25">
      <c r="A25" s="61" t="s">
        <v>48</v>
      </c>
      <c r="B25" s="53">
        <v>583.51300000000003</v>
      </c>
      <c r="C25" s="53">
        <v>489.33699999999999</v>
      </c>
      <c r="D25" s="53">
        <v>0</v>
      </c>
      <c r="E25" s="53">
        <v>571.53099999999995</v>
      </c>
      <c r="F25" s="53">
        <v>513.67399999999998</v>
      </c>
      <c r="G25" s="53">
        <v>0</v>
      </c>
      <c r="H25" s="53"/>
      <c r="I25" s="53">
        <v>0.75</v>
      </c>
      <c r="J25" s="53">
        <v>0.75</v>
      </c>
      <c r="K25" s="53">
        <v>1.24</v>
      </c>
      <c r="L25" s="53">
        <v>1.24</v>
      </c>
      <c r="M25" s="53">
        <v>0.9</v>
      </c>
      <c r="N25" s="53">
        <v>0.9</v>
      </c>
      <c r="O25" s="53">
        <v>1.49</v>
      </c>
      <c r="P25" s="53">
        <v>1.49</v>
      </c>
      <c r="Q25" s="53">
        <v>441.22699999999998</v>
      </c>
      <c r="R25" s="53">
        <v>321.84500000000003</v>
      </c>
      <c r="S25" s="53">
        <v>0</v>
      </c>
      <c r="T25" s="53">
        <v>703.88400000000001</v>
      </c>
      <c r="U25" s="53">
        <v>570.30499999999995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f t="shared" si="2"/>
        <v>0</v>
      </c>
      <c r="AD25" s="53">
        <f t="shared" si="3"/>
        <v>0</v>
      </c>
      <c r="AE25" s="53">
        <f t="shared" si="4"/>
        <v>0</v>
      </c>
      <c r="AF25" s="53">
        <f t="shared" si="5"/>
        <v>0</v>
      </c>
      <c r="AG25" s="55">
        <f t="shared" si="0"/>
        <v>0.75615624673314896</v>
      </c>
      <c r="AH25" s="55">
        <f>'31.12.2018'!AN25</f>
        <v>1.5965812835818725</v>
      </c>
      <c r="AI25" s="55">
        <f t="shared" si="6"/>
        <v>0.65771646125267458</v>
      </c>
      <c r="AJ25" s="55">
        <f>'31.12.2018'!AP25</f>
        <v>1.6645012224625901</v>
      </c>
    </row>
    <row r="26" spans="1:36" x14ac:dyDescent="0.25">
      <c r="A26" s="61" t="s">
        <v>49</v>
      </c>
      <c r="B26" s="53">
        <v>34.863</v>
      </c>
      <c r="C26" s="53">
        <v>12.739000000000001</v>
      </c>
      <c r="D26" s="53">
        <v>0</v>
      </c>
      <c r="E26" s="53">
        <v>41.622</v>
      </c>
      <c r="F26" s="53">
        <v>103.999</v>
      </c>
      <c r="G26" s="53">
        <v>0</v>
      </c>
      <c r="H26" s="53"/>
      <c r="I26" s="53">
        <v>0.95</v>
      </c>
      <c r="J26" s="53">
        <v>1.05</v>
      </c>
      <c r="K26" s="53">
        <v>1.2</v>
      </c>
      <c r="L26" s="53">
        <v>1.35</v>
      </c>
      <c r="M26" s="53">
        <v>1.1399999999999999</v>
      </c>
      <c r="N26" s="53">
        <v>1.26</v>
      </c>
      <c r="O26" s="53">
        <v>1.44</v>
      </c>
      <c r="P26" s="53">
        <v>1.62</v>
      </c>
      <c r="Q26" s="53">
        <v>33.119</v>
      </c>
      <c r="R26" s="53">
        <v>13.375999999999999</v>
      </c>
      <c r="S26" s="53">
        <v>0</v>
      </c>
      <c r="T26" s="53">
        <v>49.945999999999998</v>
      </c>
      <c r="U26" s="53">
        <v>151.82400000000001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f t="shared" si="2"/>
        <v>0</v>
      </c>
      <c r="AD26" s="53">
        <f t="shared" si="3"/>
        <v>0</v>
      </c>
      <c r="AE26" s="53">
        <f t="shared" si="4"/>
        <v>0</v>
      </c>
      <c r="AF26" s="53">
        <f t="shared" si="5"/>
        <v>0</v>
      </c>
      <c r="AG26" s="55">
        <f>(Q26+W26)/B26</f>
        <v>0.94997561885093085</v>
      </c>
      <c r="AH26" s="55">
        <f>'31.12.2018'!AN26</f>
        <v>1.4864902434362566</v>
      </c>
      <c r="AI26" s="55">
        <f t="shared" si="6"/>
        <v>1.0500039249548629</v>
      </c>
      <c r="AJ26" s="55">
        <f>'31.12.2018'!AP26</f>
        <v>1.0722653945350034</v>
      </c>
    </row>
    <row r="27" spans="1:36" x14ac:dyDescent="0.25">
      <c r="A27" s="64" t="s">
        <v>50</v>
      </c>
      <c r="B27" s="53">
        <v>86.088999999999999</v>
      </c>
      <c r="C27" s="53">
        <v>29.715</v>
      </c>
      <c r="D27" s="53">
        <v>1.278</v>
      </c>
      <c r="E27" s="53">
        <v>82.031999999999996</v>
      </c>
      <c r="F27" s="53">
        <v>161.767</v>
      </c>
      <c r="G27" s="53">
        <v>6.4000000000000001E-2</v>
      </c>
      <c r="H27" s="53"/>
      <c r="I27" s="53">
        <v>0.62</v>
      </c>
      <c r="J27" s="53">
        <v>0.9</v>
      </c>
      <c r="K27" s="53">
        <v>1.22</v>
      </c>
      <c r="L27" s="53">
        <v>1.38</v>
      </c>
      <c r="M27" s="53">
        <f>I27*1.2</f>
        <v>0.74399999999999999</v>
      </c>
      <c r="N27" s="53">
        <f>J27*1.2</f>
        <v>1.08</v>
      </c>
      <c r="O27" s="53">
        <f>K27*1.2</f>
        <v>1.464</v>
      </c>
      <c r="P27" s="53">
        <f>L27*1.2</f>
        <v>1.6559999999999999</v>
      </c>
      <c r="Q27" s="53">
        <v>53.636000000000003</v>
      </c>
      <c r="R27" s="53">
        <v>26.614999999999998</v>
      </c>
      <c r="S27" s="53">
        <v>1.1499999999999999</v>
      </c>
      <c r="T27" s="53">
        <v>100.179</v>
      </c>
      <c r="U27" s="53">
        <v>239.465</v>
      </c>
      <c r="V27" s="53">
        <v>8.7999999999999995E-2</v>
      </c>
      <c r="W27" s="53"/>
      <c r="X27" s="53"/>
      <c r="Y27" s="53"/>
      <c r="Z27" s="53"/>
      <c r="AA27" s="53"/>
      <c r="AB27" s="53"/>
      <c r="AC27" s="53">
        <f t="shared" si="2"/>
        <v>0</v>
      </c>
      <c r="AD27" s="53">
        <f t="shared" si="3"/>
        <v>0</v>
      </c>
      <c r="AE27" s="53">
        <f t="shared" si="4"/>
        <v>0</v>
      </c>
      <c r="AF27" s="53">
        <f t="shared" si="5"/>
        <v>0</v>
      </c>
      <c r="AG27" s="55">
        <f t="shared" ref="AG27:AG42" si="15">(Q27+W27)/B27</f>
        <v>0.62302965535666577</v>
      </c>
      <c r="AH27" s="55">
        <f>'31.12.2018'!AN27</f>
        <v>1.149999663677884</v>
      </c>
      <c r="AI27" s="55">
        <f t="shared" si="6"/>
        <v>0.89567558472152109</v>
      </c>
      <c r="AJ27" s="55">
        <f>'31.12.2018'!AP27</f>
        <v>1.1500001313566781</v>
      </c>
    </row>
    <row r="28" spans="1:36" x14ac:dyDescent="0.25">
      <c r="A28" s="61" t="s">
        <v>51</v>
      </c>
      <c r="B28" s="53">
        <v>202.804</v>
      </c>
      <c r="C28" s="53">
        <v>88.013999999999996</v>
      </c>
      <c r="D28" s="53">
        <v>0</v>
      </c>
      <c r="E28" s="53">
        <v>201.33500000000001</v>
      </c>
      <c r="F28" s="53">
        <v>364.75099999999998</v>
      </c>
      <c r="G28" s="53">
        <v>0</v>
      </c>
      <c r="H28" s="53"/>
      <c r="I28" s="53">
        <v>0.76400000000000001</v>
      </c>
      <c r="J28" s="53">
        <v>0.76400000000000001</v>
      </c>
      <c r="K28" s="53">
        <v>0.64500000000000002</v>
      </c>
      <c r="L28" s="53">
        <v>0.64500000000000002</v>
      </c>
      <c r="M28" s="53">
        <v>0.91700000000000004</v>
      </c>
      <c r="N28" s="53">
        <v>0.91700000000000004</v>
      </c>
      <c r="O28" s="53">
        <v>0.77400000000000002</v>
      </c>
      <c r="P28" s="53">
        <v>0.77400000000000002</v>
      </c>
      <c r="Q28" s="53">
        <v>154.94200000000001</v>
      </c>
      <c r="R28" s="53">
        <v>67.242999999999995</v>
      </c>
      <c r="S28" s="53">
        <v>0</v>
      </c>
      <c r="T28" s="53">
        <v>129.86099999999999</v>
      </c>
      <c r="U28" s="53">
        <v>235.26400000000001</v>
      </c>
      <c r="V28" s="53">
        <v>0</v>
      </c>
      <c r="W28" s="53"/>
      <c r="X28" s="53"/>
      <c r="Y28" s="53"/>
      <c r="Z28" s="53"/>
      <c r="AA28" s="53"/>
      <c r="AB28" s="53"/>
      <c r="AC28" s="53">
        <f t="shared" si="2"/>
        <v>0</v>
      </c>
      <c r="AD28" s="53">
        <f t="shared" si="3"/>
        <v>0</v>
      </c>
      <c r="AE28" s="53">
        <f t="shared" si="4"/>
        <v>0</v>
      </c>
      <c r="AF28" s="53">
        <f t="shared" si="5"/>
        <v>0</v>
      </c>
      <c r="AG28" s="55">
        <f t="shared" si="15"/>
        <v>0.76399873769748139</v>
      </c>
      <c r="AH28" s="55">
        <f>'31.12.2018'!AN28</f>
        <v>1.1400027623037614</v>
      </c>
      <c r="AI28" s="55">
        <f t="shared" si="6"/>
        <v>0.76400345399595515</v>
      </c>
      <c r="AJ28" s="55">
        <f>'31.12.2018'!AP28</f>
        <v>1.1400028817059698</v>
      </c>
    </row>
    <row r="29" spans="1:36" x14ac:dyDescent="0.25">
      <c r="A29" s="61" t="s">
        <v>52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5"/>
      <c r="AH29" s="55" t="e">
        <f>'31.12.2018'!AN29</f>
        <v>#DIV/0!</v>
      </c>
      <c r="AI29" s="55" t="e">
        <f t="shared" ref="AI29" si="16">(R29+X29)/C29</f>
        <v>#DIV/0!</v>
      </c>
      <c r="AJ29" s="55" t="e">
        <f>'31.12.2018'!AP29</f>
        <v>#DIV/0!</v>
      </c>
    </row>
    <row r="30" spans="1:36" x14ac:dyDescent="0.25">
      <c r="A30" s="61" t="s">
        <v>53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5"/>
      <c r="AH30" s="55">
        <f>'31.12.2018'!AN30</f>
        <v>1.2977464915437209</v>
      </c>
      <c r="AI30" s="55" t="e">
        <f t="shared" ref="AI30" si="17">(R30+X30)/C30</f>
        <v>#DIV/0!</v>
      </c>
      <c r="AJ30" s="55">
        <f>'31.12.2018'!AP30</f>
        <v>1.3035686335889811</v>
      </c>
    </row>
    <row r="31" spans="1:36" x14ac:dyDescent="0.25">
      <c r="A31" s="61" t="s">
        <v>54</v>
      </c>
      <c r="B31" s="53">
        <v>82.738</v>
      </c>
      <c r="C31" s="53">
        <v>47.920999999999999</v>
      </c>
      <c r="D31" s="53">
        <v>0</v>
      </c>
      <c r="E31" s="53">
        <v>78.588999999999999</v>
      </c>
      <c r="F31" s="53">
        <v>75.173000000000002</v>
      </c>
      <c r="G31" s="53">
        <v>0</v>
      </c>
      <c r="H31" s="53"/>
      <c r="I31" s="53">
        <v>0.71</v>
      </c>
      <c r="J31" s="53">
        <v>0.71</v>
      </c>
      <c r="K31" s="53">
        <v>0.94</v>
      </c>
      <c r="L31" s="53">
        <v>0.94</v>
      </c>
      <c r="M31" s="53">
        <v>0.85</v>
      </c>
      <c r="N31" s="53">
        <v>0.85</v>
      </c>
      <c r="O31" s="53">
        <v>1.1299999999999999</v>
      </c>
      <c r="P31" s="53">
        <v>1.1299999999999999</v>
      </c>
      <c r="Q31" s="53">
        <v>60.081000000000003</v>
      </c>
      <c r="R31" s="53">
        <v>34.343000000000004</v>
      </c>
      <c r="S31" s="53">
        <v>0</v>
      </c>
      <c r="T31" s="53">
        <v>71.887</v>
      </c>
      <c r="U31" s="53">
        <v>70.387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f t="shared" si="2"/>
        <v>0</v>
      </c>
      <c r="AD31" s="53">
        <f t="shared" si="3"/>
        <v>0</v>
      </c>
      <c r="AE31" s="53">
        <f t="shared" si="4"/>
        <v>0</v>
      </c>
      <c r="AF31" s="53">
        <f t="shared" si="5"/>
        <v>0</v>
      </c>
      <c r="AG31" s="55">
        <f t="shared" si="15"/>
        <v>0.72615968478812642</v>
      </c>
      <c r="AH31" s="55">
        <f>'31.12.2018'!AN31</f>
        <v>1.3126767833722235</v>
      </c>
      <c r="AI31" s="55">
        <f t="shared" si="6"/>
        <v>0.71665866739007955</v>
      </c>
      <c r="AJ31" s="55">
        <f>'31.12.2018'!AP31</f>
        <v>1.9703386801988991</v>
      </c>
    </row>
    <row r="32" spans="1:36" x14ac:dyDescent="0.25">
      <c r="A32" s="61" t="s">
        <v>55</v>
      </c>
      <c r="B32" s="53">
        <v>64.039000000000001</v>
      </c>
      <c r="C32" s="53">
        <v>43.48</v>
      </c>
      <c r="D32" s="53"/>
      <c r="E32" s="53">
        <v>50.304000000000002</v>
      </c>
      <c r="F32" s="53">
        <v>116.218</v>
      </c>
      <c r="G32" s="53"/>
      <c r="H32" s="53"/>
      <c r="I32" s="53">
        <v>1.1399999999999999</v>
      </c>
      <c r="J32" s="53">
        <v>1.29</v>
      </c>
      <c r="K32" s="53">
        <v>1.1399999999999999</v>
      </c>
      <c r="L32" s="53">
        <v>2</v>
      </c>
      <c r="M32" s="53">
        <v>1.3680000000000001</v>
      </c>
      <c r="N32" s="53">
        <v>1.548</v>
      </c>
      <c r="O32" s="53">
        <v>1.3680000000000001</v>
      </c>
      <c r="P32" s="53">
        <v>2.4</v>
      </c>
      <c r="Q32" s="53">
        <v>72.759</v>
      </c>
      <c r="R32" s="53">
        <v>56.183</v>
      </c>
      <c r="S32" s="53"/>
      <c r="T32" s="53">
        <v>57.56</v>
      </c>
      <c r="U32" s="53">
        <v>232.012</v>
      </c>
      <c r="V32" s="53"/>
      <c r="W32" s="53"/>
      <c r="X32" s="53"/>
      <c r="Y32" s="53"/>
      <c r="Z32" s="53"/>
      <c r="AA32" s="53"/>
      <c r="AB32" s="53"/>
      <c r="AC32" s="53">
        <v>0</v>
      </c>
      <c r="AD32" s="53">
        <v>0</v>
      </c>
      <c r="AE32" s="53">
        <v>0</v>
      </c>
      <c r="AF32" s="53">
        <v>0</v>
      </c>
      <c r="AG32" s="55">
        <f t="shared" si="15"/>
        <v>1.1361670232202252</v>
      </c>
      <c r="AH32" s="55">
        <f>'31.12.2018'!AN32</f>
        <v>0.83003509774313344</v>
      </c>
      <c r="AI32" s="55">
        <f t="shared" si="6"/>
        <v>1.2921573137074518</v>
      </c>
      <c r="AJ32" s="55">
        <f>'31.12.2018'!AP32</f>
        <v>1.1394787011523528</v>
      </c>
    </row>
    <row r="33" spans="1:36" x14ac:dyDescent="0.25">
      <c r="A33" s="61" t="s">
        <v>56</v>
      </c>
      <c r="B33" s="53">
        <v>279.01499999999999</v>
      </c>
      <c r="C33" s="53">
        <v>35.755000000000003</v>
      </c>
      <c r="D33" s="53">
        <v>0</v>
      </c>
      <c r="E33" s="53">
        <v>278.822</v>
      </c>
      <c r="F33" s="53">
        <v>89.075999999999993</v>
      </c>
      <c r="G33" s="53">
        <v>0</v>
      </c>
      <c r="H33" s="53">
        <v>331.53100000000001</v>
      </c>
      <c r="I33" s="53">
        <v>0.77</v>
      </c>
      <c r="J33" s="53">
        <v>0.89</v>
      </c>
      <c r="K33" s="53">
        <v>0.59</v>
      </c>
      <c r="L33" s="53">
        <v>0.75</v>
      </c>
      <c r="M33" s="53">
        <v>0.92400000000000004</v>
      </c>
      <c r="N33" s="53">
        <v>1.0680000000000001</v>
      </c>
      <c r="O33" s="53">
        <v>0.70799999999999996</v>
      </c>
      <c r="P33" s="53">
        <v>0.9</v>
      </c>
      <c r="Q33" s="53">
        <v>212.327</v>
      </c>
      <c r="R33" s="53">
        <v>31.821999999999999</v>
      </c>
      <c r="S33" s="53">
        <v>0</v>
      </c>
      <c r="T33" s="53">
        <v>162.58099999999999</v>
      </c>
      <c r="U33" s="53">
        <v>76.38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f t="shared" si="2"/>
        <v>0</v>
      </c>
      <c r="AD33" s="53">
        <f t="shared" si="3"/>
        <v>0</v>
      </c>
      <c r="AE33" s="53">
        <f t="shared" si="4"/>
        <v>0</v>
      </c>
      <c r="AF33" s="53">
        <f t="shared" si="5"/>
        <v>0</v>
      </c>
      <c r="AG33" s="55">
        <f t="shared" si="15"/>
        <v>0.76098776051466765</v>
      </c>
      <c r="AH33" s="55">
        <f>'31.12.2018'!AN33</f>
        <v>1.6899979436016159</v>
      </c>
      <c r="AI33" s="55">
        <f t="shared" si="6"/>
        <v>0.89000139840581727</v>
      </c>
      <c r="AJ33" s="55">
        <f>'31.12.2018'!AP33</f>
        <v>2.5431052679190667</v>
      </c>
    </row>
    <row r="34" spans="1:36" x14ac:dyDescent="0.25">
      <c r="A34" s="61" t="s">
        <v>57</v>
      </c>
      <c r="B34" s="53">
        <v>85.986000000000004</v>
      </c>
      <c r="C34" s="53">
        <v>22.3</v>
      </c>
      <c r="D34" s="53">
        <v>0</v>
      </c>
      <c r="E34" s="53">
        <v>74.53</v>
      </c>
      <c r="F34" s="53">
        <v>21.016999999999999</v>
      </c>
      <c r="G34" s="53">
        <v>0</v>
      </c>
      <c r="H34" s="53">
        <v>87.019000000000005</v>
      </c>
      <c r="I34" s="53">
        <v>0.89</v>
      </c>
      <c r="J34" s="53">
        <v>1.69</v>
      </c>
      <c r="K34" s="53">
        <v>1.32</v>
      </c>
      <c r="L34" s="53">
        <v>2.5299999999999998</v>
      </c>
      <c r="M34" s="53">
        <v>1.0680000000000001</v>
      </c>
      <c r="N34" s="53">
        <v>2.028</v>
      </c>
      <c r="O34" s="53">
        <v>1.5840000000000001</v>
      </c>
      <c r="P34" s="53">
        <v>3.036</v>
      </c>
      <c r="Q34" s="53">
        <v>78.753</v>
      </c>
      <c r="R34" s="53">
        <v>34.359000000000002</v>
      </c>
      <c r="S34" s="53"/>
      <c r="T34" s="53">
        <v>101.633</v>
      </c>
      <c r="U34" s="53">
        <v>48.17</v>
      </c>
      <c r="V34" s="53"/>
      <c r="W34" s="53"/>
      <c r="X34" s="53"/>
      <c r="Y34" s="53"/>
      <c r="Z34" s="53"/>
      <c r="AA34" s="53"/>
      <c r="AB34" s="53"/>
      <c r="AC34" s="53">
        <f t="shared" si="2"/>
        <v>0</v>
      </c>
      <c r="AD34" s="53">
        <f t="shared" si="3"/>
        <v>0</v>
      </c>
      <c r="AE34" s="53">
        <f t="shared" si="4"/>
        <v>0</v>
      </c>
      <c r="AF34" s="53">
        <f t="shared" si="5"/>
        <v>0</v>
      </c>
      <c r="AG34" s="55">
        <f t="shared" si="15"/>
        <v>0.91588165515316444</v>
      </c>
      <c r="AH34" s="55">
        <f>'31.12.2018'!AN34</f>
        <v>0.77999999596047376</v>
      </c>
      <c r="AI34" s="55">
        <f t="shared" si="6"/>
        <v>1.540762331838565</v>
      </c>
      <c r="AJ34" s="55">
        <f>'31.12.2018'!AP34</f>
        <v>1.7222035550367367</v>
      </c>
    </row>
    <row r="35" spans="1:36" x14ac:dyDescent="0.25">
      <c r="A35" s="61" t="s">
        <v>58</v>
      </c>
      <c r="B35" s="53">
        <v>6860</v>
      </c>
      <c r="C35" s="53">
        <v>2735</v>
      </c>
      <c r="D35" s="53">
        <v>0</v>
      </c>
      <c r="E35" s="53">
        <v>6832</v>
      </c>
      <c r="F35" s="53">
        <v>5116</v>
      </c>
      <c r="G35" s="53">
        <v>0</v>
      </c>
      <c r="H35" s="53">
        <v>10903</v>
      </c>
      <c r="I35" s="53">
        <v>0.95</v>
      </c>
      <c r="J35" s="53">
        <v>2.3199999999999998</v>
      </c>
      <c r="K35" s="53">
        <v>0.78</v>
      </c>
      <c r="L35" s="53">
        <v>1.72</v>
      </c>
      <c r="M35" s="53">
        <v>1.1399999999999999</v>
      </c>
      <c r="N35" s="53">
        <v>2.78</v>
      </c>
      <c r="O35" s="53">
        <v>0.94</v>
      </c>
      <c r="P35" s="53">
        <v>2.06</v>
      </c>
      <c r="Q35" s="53">
        <v>6517</v>
      </c>
      <c r="R35" s="53">
        <v>5806</v>
      </c>
      <c r="S35" s="53">
        <v>0</v>
      </c>
      <c r="T35" s="53">
        <v>5329</v>
      </c>
      <c r="U35" s="53">
        <v>7493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f t="shared" si="2"/>
        <v>0</v>
      </c>
      <c r="AD35" s="53">
        <f t="shared" si="3"/>
        <v>0</v>
      </c>
      <c r="AE35" s="53">
        <f t="shared" si="4"/>
        <v>0</v>
      </c>
      <c r="AF35" s="53">
        <f t="shared" si="5"/>
        <v>0</v>
      </c>
      <c r="AG35" s="55">
        <f t="shared" si="15"/>
        <v>0.95</v>
      </c>
      <c r="AH35" s="55">
        <f>'31.12.2018'!AN35</f>
        <v>1.1799988958816385</v>
      </c>
      <c r="AI35" s="55">
        <f t="shared" si="6"/>
        <v>2.122851919561243</v>
      </c>
      <c r="AJ35" s="55">
        <f>'31.12.2018'!AP35</f>
        <v>1.3700026869175399</v>
      </c>
    </row>
    <row r="36" spans="1:36" x14ac:dyDescent="0.25">
      <c r="A36" s="61" t="s">
        <v>59</v>
      </c>
      <c r="B36" s="53">
        <v>63.982999999999997</v>
      </c>
      <c r="C36" s="53">
        <v>39.924999999999997</v>
      </c>
      <c r="D36" s="53">
        <v>0</v>
      </c>
      <c r="E36" s="53">
        <v>56.715000000000003</v>
      </c>
      <c r="F36" s="53">
        <v>39.075000000000003</v>
      </c>
      <c r="G36" s="53">
        <v>0</v>
      </c>
      <c r="H36" s="53"/>
      <c r="I36" s="53">
        <v>0.89</v>
      </c>
      <c r="J36" s="53">
        <v>1.05</v>
      </c>
      <c r="K36" s="53">
        <v>1.1299999999999999</v>
      </c>
      <c r="L36" s="53">
        <v>1.33</v>
      </c>
      <c r="M36" s="53">
        <v>1.07</v>
      </c>
      <c r="N36" s="53">
        <v>1.26</v>
      </c>
      <c r="O36" s="53">
        <v>1.35</v>
      </c>
      <c r="P36" s="53">
        <v>1.59</v>
      </c>
      <c r="Q36" s="53">
        <v>57.072000000000003</v>
      </c>
      <c r="R36" s="53">
        <v>41.920999999999999</v>
      </c>
      <c r="S36" s="53">
        <v>0</v>
      </c>
      <c r="T36" s="53">
        <v>63.807000000000002</v>
      </c>
      <c r="U36" s="53">
        <v>51.774999999999999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f t="shared" si="2"/>
        <v>0</v>
      </c>
      <c r="AD36" s="53">
        <f t="shared" si="3"/>
        <v>0</v>
      </c>
      <c r="AE36" s="53">
        <f t="shared" si="4"/>
        <v>0</v>
      </c>
      <c r="AF36" s="53">
        <f t="shared" si="5"/>
        <v>0</v>
      </c>
      <c r="AG36" s="55">
        <f t="shared" si="15"/>
        <v>0.89198693402935159</v>
      </c>
      <c r="AH36" s="55">
        <f>'31.12.2018'!AN36</f>
        <v>1.0851994351489109</v>
      </c>
      <c r="AI36" s="55">
        <f t="shared" si="6"/>
        <v>1.0499937382592361</v>
      </c>
      <c r="AJ36" s="55">
        <f>'31.12.2018'!AP36</f>
        <v>1.5922182234810607</v>
      </c>
    </row>
    <row r="37" spans="1:36" x14ac:dyDescent="0.25">
      <c r="A37" s="61" t="s">
        <v>60</v>
      </c>
      <c r="B37" s="54">
        <v>1423.1279999999999</v>
      </c>
      <c r="C37" s="53">
        <v>744.68799999999999</v>
      </c>
      <c r="D37" s="53">
        <v>0</v>
      </c>
      <c r="E37" s="53">
        <v>1425.3440000000001</v>
      </c>
      <c r="F37" s="53">
        <v>959.87400000000002</v>
      </c>
      <c r="G37" s="53">
        <v>0</v>
      </c>
      <c r="H37" s="53">
        <v>1802.748</v>
      </c>
      <c r="I37" s="53">
        <v>0.57999999999999996</v>
      </c>
      <c r="J37" s="53">
        <v>0.57999999999999996</v>
      </c>
      <c r="K37" s="53">
        <v>1</v>
      </c>
      <c r="L37" s="53">
        <v>1</v>
      </c>
      <c r="M37" s="53">
        <v>0.69599999999999995</v>
      </c>
      <c r="N37" s="53">
        <v>0.69599999999999995</v>
      </c>
      <c r="O37" s="53">
        <v>1.2</v>
      </c>
      <c r="P37" s="53">
        <v>1.2</v>
      </c>
      <c r="Q37" s="53">
        <v>826.00599999999997</v>
      </c>
      <c r="R37" s="53">
        <v>432.24200000000002</v>
      </c>
      <c r="S37" s="53">
        <v>0</v>
      </c>
      <c r="T37" s="53">
        <v>1425.355</v>
      </c>
      <c r="U37" s="53">
        <v>1272.337</v>
      </c>
      <c r="V37" s="53"/>
      <c r="W37" s="53"/>
      <c r="X37" s="53"/>
      <c r="Y37" s="53"/>
      <c r="Z37" s="53"/>
      <c r="AA37" s="53"/>
      <c r="AB37" s="53"/>
      <c r="AC37" s="53">
        <f t="shared" si="2"/>
        <v>0</v>
      </c>
      <c r="AD37" s="53">
        <f t="shared" si="3"/>
        <v>0</v>
      </c>
      <c r="AE37" s="53">
        <f t="shared" si="4"/>
        <v>0</v>
      </c>
      <c r="AF37" s="53">
        <f t="shared" si="5"/>
        <v>0</v>
      </c>
      <c r="AG37" s="55">
        <f t="shared" si="15"/>
        <v>0.58041581642691309</v>
      </c>
      <c r="AH37" s="55">
        <f>'31.12.2018'!AN37</f>
        <v>1.6528919047871495</v>
      </c>
      <c r="AI37" s="55">
        <f t="shared" si="6"/>
        <v>0.58043368497948133</v>
      </c>
      <c r="AJ37" s="55">
        <f>'31.12.2018'!AP37</f>
        <v>2.2015956097673457</v>
      </c>
    </row>
    <row r="38" spans="1:36" x14ac:dyDescent="0.25">
      <c r="A38" s="61" t="s">
        <v>61</v>
      </c>
      <c r="B38" s="53">
        <v>69.224000000000004</v>
      </c>
      <c r="C38" s="53">
        <v>16.905999999999999</v>
      </c>
      <c r="D38" s="53">
        <v>3.0870000000000002</v>
      </c>
      <c r="E38" s="53">
        <v>75.018000000000001</v>
      </c>
      <c r="F38" s="53">
        <v>16.988</v>
      </c>
      <c r="G38" s="53">
        <v>17.923999999999999</v>
      </c>
      <c r="H38" s="53"/>
      <c r="I38" s="53">
        <v>0.80400000000000005</v>
      </c>
      <c r="J38" s="53">
        <v>0.96299999999999997</v>
      </c>
      <c r="K38" s="53">
        <v>0.90300000000000002</v>
      </c>
      <c r="L38" s="53">
        <v>1.052</v>
      </c>
      <c r="M38" s="53">
        <v>0.96499999999999997</v>
      </c>
      <c r="N38" s="53">
        <v>1.1559999999999999</v>
      </c>
      <c r="O38" s="53">
        <v>1.0840000000000001</v>
      </c>
      <c r="P38" s="53">
        <v>1.262</v>
      </c>
      <c r="Q38" s="53">
        <v>55.219000000000001</v>
      </c>
      <c r="R38" s="53">
        <v>16.114000000000001</v>
      </c>
      <c r="S38" s="53">
        <v>2.863</v>
      </c>
      <c r="T38" s="53">
        <v>67.652000000000001</v>
      </c>
      <c r="U38" s="53">
        <v>17.904</v>
      </c>
      <c r="V38" s="53">
        <v>18.876999999999999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f t="shared" si="2"/>
        <v>0</v>
      </c>
      <c r="AD38" s="53">
        <f t="shared" si="3"/>
        <v>0</v>
      </c>
      <c r="AE38" s="53">
        <f t="shared" si="4"/>
        <v>0</v>
      </c>
      <c r="AF38" s="53">
        <f t="shared" si="5"/>
        <v>0</v>
      </c>
      <c r="AG38" s="55">
        <f t="shared" si="15"/>
        <v>0.79768577372009708</v>
      </c>
      <c r="AH38" s="55">
        <f>'31.12.2018'!AN38</f>
        <v>1.3582561797752808</v>
      </c>
      <c r="AI38" s="55">
        <f t="shared" si="6"/>
        <v>0.95315272684254126</v>
      </c>
      <c r="AJ38" s="55">
        <f>'31.12.2018'!AP38</f>
        <v>1.4651670446987397</v>
      </c>
    </row>
    <row r="39" spans="1:36" x14ac:dyDescent="0.25">
      <c r="A39" s="61" t="s">
        <v>62</v>
      </c>
      <c r="B39" s="53">
        <v>122.01300000000001</v>
      </c>
      <c r="C39" s="53">
        <v>34.591000000000001</v>
      </c>
      <c r="D39" s="53">
        <v>0</v>
      </c>
      <c r="E39" s="53">
        <v>118.628</v>
      </c>
      <c r="F39" s="53">
        <v>52.676000000000002</v>
      </c>
      <c r="G39" s="53">
        <v>0</v>
      </c>
      <c r="H39" s="53"/>
      <c r="I39" s="53">
        <v>1.01</v>
      </c>
      <c r="J39" s="53">
        <v>1.01</v>
      </c>
      <c r="K39" s="53">
        <v>1.18</v>
      </c>
      <c r="L39" s="53">
        <v>1.18</v>
      </c>
      <c r="M39" s="53">
        <v>1.21</v>
      </c>
      <c r="N39" s="53">
        <v>1.21</v>
      </c>
      <c r="O39" s="53">
        <v>1.42</v>
      </c>
      <c r="P39" s="53">
        <v>1.42</v>
      </c>
      <c r="Q39" s="53">
        <v>122.947</v>
      </c>
      <c r="R39" s="53">
        <v>34.886000000000003</v>
      </c>
      <c r="S39" s="53">
        <v>0</v>
      </c>
      <c r="T39" s="53">
        <v>139.62799999999999</v>
      </c>
      <c r="U39" s="53">
        <v>61.500999999999998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/>
      <c r="AC39" s="53">
        <f t="shared" si="2"/>
        <v>0</v>
      </c>
      <c r="AD39" s="53">
        <f t="shared" si="3"/>
        <v>0</v>
      </c>
      <c r="AE39" s="53">
        <f t="shared" si="4"/>
        <v>0</v>
      </c>
      <c r="AF39" s="53">
        <f t="shared" si="5"/>
        <v>0</v>
      </c>
      <c r="AG39" s="55">
        <f t="shared" si="15"/>
        <v>1.0076549220165065</v>
      </c>
      <c r="AH39" s="55">
        <f>'31.12.2018'!AN39</f>
        <v>1.6000933778926085</v>
      </c>
      <c r="AI39" s="55">
        <f t="shared" si="6"/>
        <v>1.0085282298863867</v>
      </c>
      <c r="AJ39" s="55">
        <f>'31.12.2018'!AP39</f>
        <v>1.6153389487211722</v>
      </c>
    </row>
    <row r="40" spans="1:36" x14ac:dyDescent="0.25">
      <c r="A40" s="61" t="s">
        <v>63</v>
      </c>
      <c r="B40" s="53">
        <v>25.544</v>
      </c>
      <c r="C40" s="53">
        <v>8.86</v>
      </c>
      <c r="D40" s="53">
        <v>0</v>
      </c>
      <c r="E40" s="53">
        <v>24.933</v>
      </c>
      <c r="F40" s="53">
        <v>11.036</v>
      </c>
      <c r="G40" s="53">
        <v>0</v>
      </c>
      <c r="H40" s="53"/>
      <c r="I40" s="53">
        <v>0.77</v>
      </c>
      <c r="J40" s="53">
        <v>0.77</v>
      </c>
      <c r="K40" s="53">
        <v>0.95</v>
      </c>
      <c r="L40" s="53">
        <v>0.95</v>
      </c>
      <c r="M40" s="53">
        <v>0.92</v>
      </c>
      <c r="N40" s="53">
        <v>0.92</v>
      </c>
      <c r="O40" s="53">
        <v>1.1399999999999999</v>
      </c>
      <c r="P40" s="53">
        <v>1.1399999999999999</v>
      </c>
      <c r="Q40" s="53">
        <v>19.747</v>
      </c>
      <c r="R40" s="53">
        <v>6.851</v>
      </c>
      <c r="S40" s="53">
        <v>0</v>
      </c>
      <c r="T40" s="53">
        <v>23.736000000000001</v>
      </c>
      <c r="U40" s="53">
        <v>10.506</v>
      </c>
      <c r="V40" s="53">
        <v>0</v>
      </c>
      <c r="W40" s="53"/>
      <c r="X40" s="53"/>
      <c r="Y40" s="53"/>
      <c r="Z40" s="53"/>
      <c r="AA40" s="53"/>
      <c r="AB40" s="53"/>
      <c r="AC40" s="53">
        <f t="shared" ref="AC40" si="18">W40/B40</f>
        <v>0</v>
      </c>
      <c r="AD40" s="53">
        <f t="shared" ref="AD40" si="19">Z40/E40</f>
        <v>0</v>
      </c>
      <c r="AE40" s="53">
        <f t="shared" ref="AE40" si="20">(X40+Y40)/(C40+D40)</f>
        <v>0</v>
      </c>
      <c r="AF40" s="53">
        <f t="shared" ref="AF40" si="21">(AA40+AB40)/(F40+G40)</f>
        <v>0</v>
      </c>
      <c r="AG40" s="55">
        <f t="shared" ref="AG40" si="22">(Q40+W40)/B40</f>
        <v>0.7730582524271844</v>
      </c>
      <c r="AH40" s="55">
        <f>'31.12.2018'!AN40</f>
        <v>1.9149055126914905</v>
      </c>
      <c r="AI40" s="55">
        <f t="shared" ref="AI40" si="23">(R40+X40)/C40</f>
        <v>0.77325056433408579</v>
      </c>
      <c r="AJ40" s="55">
        <f>'31.12.2018'!AP40</f>
        <v>1.9148966870599098</v>
      </c>
    </row>
    <row r="41" spans="1:36" x14ac:dyDescent="0.25">
      <c r="A41" s="61" t="s">
        <v>64</v>
      </c>
      <c r="B41" s="53">
        <v>274.10300000000001</v>
      </c>
      <c r="C41" s="53">
        <v>56.46</v>
      </c>
      <c r="D41" s="53">
        <v>0</v>
      </c>
      <c r="E41" s="53">
        <v>267.08100000000002</v>
      </c>
      <c r="F41" s="53">
        <v>65.215000000000003</v>
      </c>
      <c r="G41" s="53">
        <v>0</v>
      </c>
      <c r="H41" s="53"/>
      <c r="I41" s="53">
        <v>1.25</v>
      </c>
      <c r="J41" s="53">
        <v>1.47</v>
      </c>
      <c r="K41" s="53">
        <v>1.95</v>
      </c>
      <c r="L41" s="53">
        <v>2.2000000000000002</v>
      </c>
      <c r="M41" s="53">
        <v>1.5</v>
      </c>
      <c r="N41" s="53">
        <v>1.76</v>
      </c>
      <c r="O41" s="53">
        <v>2.34</v>
      </c>
      <c r="P41" s="53">
        <v>2.64</v>
      </c>
      <c r="Q41" s="53">
        <v>343.35399999999998</v>
      </c>
      <c r="R41" s="53">
        <v>92.013000000000005</v>
      </c>
      <c r="S41" s="53">
        <v>0</v>
      </c>
      <c r="T41" s="53">
        <v>495.00299999999999</v>
      </c>
      <c r="U41" s="53">
        <v>120.42400000000001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f t="shared" si="2"/>
        <v>0</v>
      </c>
      <c r="AD41" s="53">
        <f t="shared" si="3"/>
        <v>0</v>
      </c>
      <c r="AE41" s="53">
        <f t="shared" si="4"/>
        <v>0</v>
      </c>
      <c r="AF41" s="53">
        <f t="shared" si="5"/>
        <v>0</v>
      </c>
      <c r="AG41" s="55">
        <f t="shared" si="15"/>
        <v>1.2526459031823802</v>
      </c>
      <c r="AH41" s="55">
        <f>'31.12.2018'!AN41</f>
        <v>1.9452653622502958</v>
      </c>
      <c r="AI41" s="55">
        <f t="shared" si="6"/>
        <v>1.629702444208289</v>
      </c>
      <c r="AJ41" s="55">
        <f>'31.12.2018'!AP41</f>
        <v>2.1658503347619145</v>
      </c>
    </row>
    <row r="42" spans="1:36" x14ac:dyDescent="0.25">
      <c r="A42" s="61" t="s">
        <v>65</v>
      </c>
      <c r="B42" s="53">
        <v>243.86699999999999</v>
      </c>
      <c r="C42" s="53">
        <v>93.9</v>
      </c>
      <c r="D42" s="53">
        <v>0.112</v>
      </c>
      <c r="E42" s="53">
        <v>246.12700000000001</v>
      </c>
      <c r="F42" s="53">
        <v>183.131</v>
      </c>
      <c r="G42" s="53">
        <v>9.6000000000000002E-2</v>
      </c>
      <c r="H42" s="53"/>
      <c r="I42" s="53">
        <v>0.77</v>
      </c>
      <c r="J42" s="53">
        <v>0.77</v>
      </c>
      <c r="K42" s="53">
        <v>0.99</v>
      </c>
      <c r="L42" s="53">
        <v>0.99</v>
      </c>
      <c r="M42" s="53">
        <v>0.92</v>
      </c>
      <c r="N42" s="53">
        <v>0.92</v>
      </c>
      <c r="O42" s="53">
        <v>1.19</v>
      </c>
      <c r="P42" s="53">
        <v>1.19</v>
      </c>
      <c r="Q42" s="53">
        <v>184.74299999999999</v>
      </c>
      <c r="R42" s="53">
        <v>71.406000000000006</v>
      </c>
      <c r="S42" s="53">
        <v>8.5000000000000006E-2</v>
      </c>
      <c r="T42" s="53">
        <v>240.22800000000001</v>
      </c>
      <c r="U42" s="53">
        <v>236.751</v>
      </c>
      <c r="V42" s="53">
        <v>9.4E-2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f t="shared" si="2"/>
        <v>0</v>
      </c>
      <c r="AD42" s="53">
        <f t="shared" si="3"/>
        <v>0</v>
      </c>
      <c r="AE42" s="53">
        <f t="shared" si="4"/>
        <v>0</v>
      </c>
      <c r="AF42" s="53">
        <f t="shared" si="5"/>
        <v>0</v>
      </c>
      <c r="AG42" s="55">
        <f t="shared" si="15"/>
        <v>0.75755637294098832</v>
      </c>
      <c r="AH42" s="55">
        <f>'31.12.2018'!AN42</f>
        <v>1.0799996152662357</v>
      </c>
      <c r="AI42" s="55">
        <f t="shared" si="6"/>
        <v>0.76044728434504794</v>
      </c>
      <c r="AJ42" s="55">
        <f>'31.12.2018'!AP42</f>
        <v>1.2236236729304004</v>
      </c>
    </row>
    <row r="43" spans="1:36" x14ac:dyDescent="0.25">
      <c r="A43" s="61" t="s">
        <v>66</v>
      </c>
      <c r="B43" s="53">
        <v>243.86699999999999</v>
      </c>
      <c r="C43" s="53">
        <v>93.9</v>
      </c>
      <c r="D43" s="53">
        <v>0.112</v>
      </c>
      <c r="E43" s="53">
        <v>246.12700000000001</v>
      </c>
      <c r="F43" s="53">
        <v>183.131</v>
      </c>
      <c r="G43" s="53">
        <v>9.6000000000000002E-2</v>
      </c>
      <c r="H43" s="53"/>
      <c r="I43" s="53">
        <v>0.77</v>
      </c>
      <c r="J43" s="53">
        <v>0.77</v>
      </c>
      <c r="K43" s="53">
        <v>0.99</v>
      </c>
      <c r="L43" s="53">
        <v>0.99</v>
      </c>
      <c r="M43" s="53">
        <v>0.92</v>
      </c>
      <c r="N43" s="53">
        <v>0.92</v>
      </c>
      <c r="O43" s="53">
        <v>1.19</v>
      </c>
      <c r="P43" s="53">
        <v>1.19</v>
      </c>
      <c r="Q43" s="53">
        <v>184.74299999999999</v>
      </c>
      <c r="R43" s="53">
        <v>71.406000000000006</v>
      </c>
      <c r="S43" s="53">
        <v>8.5000000000000006E-2</v>
      </c>
      <c r="T43" s="53">
        <v>240.22800000000001</v>
      </c>
      <c r="U43" s="53">
        <v>236.751</v>
      </c>
      <c r="V43" s="53">
        <v>9.4E-2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f t="shared" ref="AC43" si="24">W43/B43</f>
        <v>0</v>
      </c>
      <c r="AD43" s="53">
        <f t="shared" ref="AD43" si="25">Z43/E43</f>
        <v>0</v>
      </c>
      <c r="AE43" s="53">
        <f t="shared" ref="AE43" si="26">(X43+Y43)/(C43+D43)</f>
        <v>0</v>
      </c>
      <c r="AF43" s="53">
        <f t="shared" ref="AF43" si="27">(AA43+AB43)/(F43+G43)</f>
        <v>0</v>
      </c>
      <c r="AG43" s="55">
        <f t="shared" ref="AG43" si="28">(Q43+W43)/B43</f>
        <v>0.75755637294098832</v>
      </c>
      <c r="AH43" s="55">
        <f>'31.12.2018'!AN43</f>
        <v>1.3446193602826779</v>
      </c>
      <c r="AI43" s="55">
        <f t="shared" ref="AI43" si="29">(R43+X43)/C43</f>
        <v>0.76044728434504794</v>
      </c>
      <c r="AJ43" s="55">
        <f>'31.12.2018'!AP43</f>
        <v>1.2786577181208054</v>
      </c>
    </row>
    <row r="44" spans="1:36" x14ac:dyDescent="0.25">
      <c r="A44" s="61" t="s">
        <v>67</v>
      </c>
      <c r="B44" s="53">
        <v>243.86699999999999</v>
      </c>
      <c r="C44" s="53">
        <v>93.9</v>
      </c>
      <c r="D44" s="53">
        <v>0.112</v>
      </c>
      <c r="E44" s="53">
        <v>246.12700000000001</v>
      </c>
      <c r="F44" s="53">
        <v>183.131</v>
      </c>
      <c r="G44" s="53">
        <v>9.6000000000000002E-2</v>
      </c>
      <c r="H44" s="53"/>
      <c r="I44" s="53">
        <v>0.77</v>
      </c>
      <c r="J44" s="53">
        <v>0.77</v>
      </c>
      <c r="K44" s="53">
        <v>0.99</v>
      </c>
      <c r="L44" s="53">
        <v>0.99</v>
      </c>
      <c r="M44" s="53">
        <v>0.92</v>
      </c>
      <c r="N44" s="53">
        <v>0.92</v>
      </c>
      <c r="O44" s="53">
        <v>1.19</v>
      </c>
      <c r="P44" s="53">
        <v>1.19</v>
      </c>
      <c r="Q44" s="53">
        <v>184.74299999999999</v>
      </c>
      <c r="R44" s="53">
        <v>71.406000000000006</v>
      </c>
      <c r="S44" s="53">
        <v>8.5000000000000006E-2</v>
      </c>
      <c r="T44" s="53">
        <v>240.22800000000001</v>
      </c>
      <c r="U44" s="53">
        <v>236.751</v>
      </c>
      <c r="V44" s="53">
        <v>9.4E-2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f t="shared" ref="AC44" si="30">W44/B44</f>
        <v>0</v>
      </c>
      <c r="AD44" s="53">
        <f t="shared" ref="AD44" si="31">Z44/E44</f>
        <v>0</v>
      </c>
      <c r="AE44" s="53">
        <f t="shared" ref="AE44" si="32">(X44+Y44)/(C44+D44)</f>
        <v>0</v>
      </c>
      <c r="AF44" s="53">
        <f t="shared" ref="AF44" si="33">(AA44+AB44)/(F44+G44)</f>
        <v>0</v>
      </c>
      <c r="AG44" s="55">
        <f t="shared" ref="AG44" si="34">(Q44+W44)/B44</f>
        <v>0.75755637294098832</v>
      </c>
      <c r="AH44" s="55">
        <f>'31.12.2018'!AN44</f>
        <v>1.5235285652611885</v>
      </c>
      <c r="AI44" s="55">
        <f t="shared" ref="AI44" si="35">(R44+X44)/C44</f>
        <v>0.76044728434504794</v>
      </c>
      <c r="AJ44" s="55">
        <f>'31.12.2018'!AP44</f>
        <v>1.530674985762452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31.12.2018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cp:lastPrinted>2019-03-15T09:56:33Z</cp:lastPrinted>
  <dcterms:created xsi:type="dcterms:W3CDTF">2013-08-30T08:51:25Z</dcterms:created>
  <dcterms:modified xsi:type="dcterms:W3CDTF">2020-03-13T11:39:40Z</dcterms:modified>
  <cp:category/>
  <cp:contentStatus/>
</cp:coreProperties>
</file>